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A8FA8EC-CBF5-FD4A-ACC6-3789C25642B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94" i="1" l="1"/>
  <c r="X21" i="1" l="1"/>
  <c r="Y21" i="1"/>
  <c r="Z21" i="1"/>
  <c r="AA21" i="1"/>
  <c r="W21" i="1"/>
  <c r="X30" i="1"/>
  <c r="Y30" i="1"/>
  <c r="Z30" i="1"/>
  <c r="AA30" i="1"/>
  <c r="W30" i="1"/>
  <c r="W29" i="1"/>
  <c r="X29" i="1"/>
  <c r="Y29" i="1"/>
  <c r="Z29" i="1"/>
  <c r="AA29" i="1"/>
  <c r="W20" i="1"/>
  <c r="X20" i="1"/>
  <c r="Y20" i="1"/>
  <c r="Z20" i="1"/>
  <c r="AA20" i="1"/>
  <c r="X114" i="1" l="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X116" i="1" l="1" a="1"/>
  <c r="X116" i="1" s="1"/>
  <c r="AD19" i="1" s="1"/>
  <c r="AD101" i="1" a="1"/>
  <c r="AD101" i="1" s="1"/>
  <c r="AD95" i="1" a="1"/>
  <c r="AD95" i="1" s="1"/>
  <c r="AD97" i="1" s="1"/>
  <c r="X111" i="1"/>
  <c r="AD90" i="1"/>
  <c r="AD89" i="1"/>
  <c r="AD91" i="1" s="1"/>
  <c r="AD87" i="1"/>
  <c r="AD86" i="1"/>
  <c r="AD99" i="1" s="1"/>
  <c r="AD85" i="1"/>
  <c r="AD88" i="1" s="1"/>
  <c r="AB19" i="1"/>
  <c r="AB16" i="1"/>
  <c r="AE13" i="1"/>
  <c r="AD13" i="1"/>
  <c r="AC13" i="1"/>
  <c r="AB13" i="1"/>
  <c r="AE10" i="1"/>
  <c r="AD10" i="1"/>
  <c r="AC10" i="1"/>
  <c r="AB10" i="1"/>
  <c r="AE7" i="1"/>
  <c r="AD7" i="1"/>
  <c r="AC7" i="1"/>
  <c r="AB7" i="1"/>
  <c r="AD4" i="1"/>
  <c r="AC4" i="1"/>
  <c r="AB4" i="1"/>
  <c r="AA4" i="1"/>
  <c r="Z4" i="1"/>
  <c r="Y4" i="1"/>
  <c r="X4" i="1"/>
  <c r="W4" i="1"/>
  <c r="V106" i="1"/>
  <c r="AE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22" i="1" l="1"/>
  <c r="AD22" i="1"/>
  <c r="AE19" i="1"/>
  <c r="AC19" i="1"/>
  <c r="AD106" i="1"/>
  <c r="AD16" i="1"/>
  <c r="AE16" i="1"/>
  <c r="AC16" i="1"/>
  <c r="AD92" i="1"/>
  <c r="X108" i="1"/>
  <c r="AD103" i="1"/>
  <c r="AD100" i="1" s="1"/>
  <c r="X112" i="1"/>
  <c r="W108" i="1"/>
  <c r="AD102" i="1" l="1"/>
  <c r="AD105" i="1" s="1"/>
  <c r="AD108" i="1" s="1"/>
  <c r="Y108" i="1"/>
  <c r="AA107" i="1" l="1"/>
  <c r="AA108" i="1" s="1"/>
  <c r="X110" i="1" s="1"/>
  <c r="X113" i="1" s="1"/>
  <c r="X115" i="1" s="1"/>
  <c r="Z108" i="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<sst xmlns="http://schemas.openxmlformats.org/spreadsheetml/2006/main" count="764" uniqueCount="167">
  <si>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</si>
  <si>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</si>
  <si>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</si>
  <si>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</si>
  <si>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</si>
  <si>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</si>
  <si>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</si>
  <si>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</si>
  <si>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</si>
  <si>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</si>
  <si>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</si>
  <si>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</si>
  <si>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</si>
  <si>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</si>
  <si>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</si>
  <si>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</si>
  <si>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</si>
  <si>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</si>
  <si>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</si>
  <si>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</si>
  <si>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</si>
  <si>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</si>
  <si>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</si>
  <si>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</si>
  <si>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</si>
  <si>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</si>
  <si>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</si>
  <si>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</si>
  <si>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</si>
  <si>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</si>
  <si>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</si>
  <si>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</si>
  <si>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</si>
  <si>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</si>
  <si>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</si>
  <si>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</si>
  <si>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</si>
  <si>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</si>
  <si>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</si>
  <si>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</si>
  <si>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</si>
  <si>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</si>
  <si>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</si>
  <si>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</si>
  <si>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</si>
  <si>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</si>
  <si>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</si>
  <si>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</si>
  <si>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</si>
  <si>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</si>
  <si>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</si>
  <si>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</si>
  <si>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</si>
  <si>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</si>
  <si>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</si>
  <si>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</si>
  <si>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</si>
  <si>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</si>
  <si>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</si>
  <si>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</si>
  <si>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</si>
  <si>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</si>
  <si>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</si>
  <si>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</si>
  <si>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</si>
  <si>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</si>
  <si>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</si>
  <si>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</si>
  <si>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</si>
  <si>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</si>
  <si>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</si>
  <si>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</si>
  <si>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</si>
  <si>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</si>
  <si>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</si>
  <si>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</si>
  <si>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</si>
  <si>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</si>
  <si>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</si>
  <si>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</si>
  <si>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</si>
  <si>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</si>
  <si>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</si>
  <si>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</si>
  <si>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</si>
  <si>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</si>
  <si>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</si>
  <si>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</si>
  <si>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</si>
  <si>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</si>
  <si>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</si>
  <si>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</si>
  <si>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</si>
  <si>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</si>
  <si>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</si>
  <si>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</si>
  <si>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</si>
  <si>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</si>
  <si>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</si>
  <si>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</si>
  <si>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</si>
  <si>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</si>
  <si>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</si>
  <si>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</si>
  <si>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</si>
  <si>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</si>
  <si>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</si>
  <si>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</si>
  <si>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</si>
  <si>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</si>
  <si>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</si>
  <si>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</si>
  <si>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</si>
  <si>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</si>
  <si>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</si>
  <si>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</si>
  <si>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</si>
  <si>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</si>
  <si>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</si>
  <si>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</si>
  <si>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</si>
  <si>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</si>
  <si>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</si>
  <si>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</si>
  <si>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</si>
  <si>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</si>
  <si>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</si>
  <si>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</si>
  <si>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</si>
  <si>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</si>
  <si>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</si>
  <si>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</si>
  <si>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</si>
  <si>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</si>
  <si>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</si>
  <si>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</si>
  <si>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</si>
  <si>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</si>
  <si>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</si>
  <si>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</si>
  <si>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</si>
  <si>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</si>
  <si>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</si>
  <si>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</si>
  <si>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</si>
  <si>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</si>
  <si>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</si>
  <si>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</si>
  <si>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</si>
  <si>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</si>
  <si>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</si>
  <si>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</si>
  <si>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</si>
  <si>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</si>
  <si>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</si>
  <si>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</si>
  <si>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</si>
  <si>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</si>
  <si>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</si>
  <si>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Unlevered FCF</t>
  </si>
  <si>
    <t>Levered FCF Growth YoY</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</si>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</sst>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Super Micro Computer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90066225165569E-2"/>
          <c:y val="0.14585845976570003"/>
          <c:w val="0.8572317880794702"/>
          <c:h val="0.724020309199154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23C0-0F47-A1FF-AABE35EB15B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1774000</c:v>
                </c:pt>
                <c:pt idx="1">
                  <c:v>1661000</c:v>
                </c:pt>
                <c:pt idx="2">
                  <c:v>4854000</c:v>
                </c:pt>
                <c:pt idx="3">
                  <c:v>11651000</c:v>
                </c:pt>
                <c:pt idx="4">
                  <c:v>27836000</c:v>
                </c:pt>
                <c:pt idx="5">
                  <c:v>30978000</c:v>
                </c:pt>
                <c:pt idx="6">
                  <c:v>43468000</c:v>
                </c:pt>
                <c:pt idx="7">
                  <c:v>27382000</c:v>
                </c:pt>
                <c:pt idx="8">
                  <c:v>45467000</c:v>
                </c:pt>
                <c:pt idx="9">
                  <c:v>64212000</c:v>
                </c:pt>
                <c:pt idx="10">
                  <c:v>53139000</c:v>
                </c:pt>
                <c:pt idx="11">
                  <c:v>35041000</c:v>
                </c:pt>
                <c:pt idx="12">
                  <c:v>86715000</c:v>
                </c:pt>
                <c:pt idx="13">
                  <c:v>154994000</c:v>
                </c:pt>
                <c:pt idx="14">
                  <c:v>120303000</c:v>
                </c:pt>
                <c:pt idx="15">
                  <c:v>109945000</c:v>
                </c:pt>
                <c:pt idx="16">
                  <c:v>112180000</c:v>
                </c:pt>
                <c:pt idx="17">
                  <c:v>117694000</c:v>
                </c:pt>
                <c:pt idx="18">
                  <c:v>117938000</c:v>
                </c:pt>
                <c:pt idx="19">
                  <c:v>149471000</c:v>
                </c:pt>
                <c:pt idx="20">
                  <c:v>376923000</c:v>
                </c:pt>
              </c:numCache>
            </c:numRef>
          </c:val>
          <c:extLst>
            <c:ext xmlns:c16="http://schemas.microsoft.com/office/drawing/2014/chart" uri="{C3380CC4-5D6E-409C-BE32-E72D297353CC}">
              <c16:uniqueId val="{00000001-23C0-0F47-A1FF-AABE35EB15B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23C0-0F47-A1FF-AABE35EB15B0}"/>
            </c:ext>
          </c:extLst>
        </c:ser>
        <c:dLbls>
          <c:showLegendKey val="0"/>
          <c:showVal val="0"/>
          <c:showCatName val="0"/>
          <c:showSerName val="0"/>
          <c:showPercent val="0"/>
          <c:showBubbleSize val="0"/>
        </c:dLbls>
        <c:gapWidth val="100"/>
        <c:overlap val="-24"/>
        <c:axId val="1434973248"/>
        <c:axId val="1434974976"/>
      </c:barChart>
      <c:catAx>
        <c:axId val="14349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4974976"/>
        <c:crosses val="autoZero"/>
        <c:auto val="1"/>
        <c:lblAlgn val="ctr"/>
        <c:lblOffset val="100"/>
        <c:noMultiLvlLbl val="0"/>
      </c:catAx>
      <c:valAx>
        <c:axId val="1434974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973248"/>
        <c:crosses val="autoZero"/>
        <c:crossBetween val="between"/>
      </c:valAx>
      <c:spPr>
        <a:noFill/>
        <a:ln>
          <a:noFill/>
        </a:ln>
        <a:effectLst/>
      </c:spPr>
    </c:plotArea>
    <c:legend>
      <c:legendPos val="b"/>
      <c:layout>
        <c:manualLayout>
          <c:xMode val="edge"/>
          <c:yMode val="edge"/>
          <c:x val="0.36146727851071597"/>
          <c:y val="0.9154515555982331"/>
          <c:w val="0.30355550920373364"/>
          <c:h val="4.1791037588191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29</xdr:col>
      <xdr:colOff>1587500</xdr:colOff>
      <xdr:row>126</xdr:row>
      <xdr:rowOff>15875</xdr:rowOff>
    </xdr:to>
    <xdr:graphicFrame macro="">
      <xdr:nvGraphicFramePr>
        <xdr:cNvPr id="2" name="Chart 1">
          <a:extLst>
            <a:ext uri="{FF2B5EF4-FFF2-40B4-BE49-F238E27FC236}">
              <a16:creationId xmlns:a16="http://schemas.microsoft.com/office/drawing/2014/main" id="{EB45F29B-1054-3E94-183F-6E138E2C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Powered by Refinitiv</v>
    <v>270.18</v>
    <v>37.01</v>
    <v>1.1739999999999999</v>
    <v>13.32</v>
    <v>5.6457E-2</v>
    <v>0.75</v>
    <v>3.009E-3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253.96</v>
    <v>Computers, Phones &amp; Household Electronics</v>
    <v>Stock</v>
    <v>45107.999859027346</v>
    <v>0</v>
    <v>239.88</v>
    <v>13082756132</v>
    <v>SUPER MICRO COMPUTER, INC.</v>
    <v>SUPER MICRO COMPUTER, INC.</v>
    <v>240</v>
    <v>22.232800000000001</v>
    <v>235.93</v>
    <v>249.25</v>
    <v>250</v>
    <v>52488490</v>
    <v>SMCI</v>
    <v>SUPER MICRO COMPUTER, INC. (XNAS:SMCI)</v>
    <v>2552965</v>
    <v>3324541</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T90" activePane="bottomRight" state="frozen"/>
      <selection pane="topRight"/>
      <selection pane="bottomLeft"/>
      <selection pane="bottomRight" activeCell="AE96" sqref="AE96"/>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4">
        <v>6740000000</v>
      </c>
      <c r="X3" s="24">
        <v>8060000000</v>
      </c>
      <c r="Y3" s="24">
        <v>9500000000</v>
      </c>
      <c r="Z3" s="24">
        <v>10500000000</v>
      </c>
      <c r="AA3" s="24">
        <v>11200000000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AA4" si="0">(F3/E3)-1</f>
        <v>0.42867734212303388</v>
      </c>
      <c r="G4" s="15">
        <f t="shared" si="0"/>
        <v>0.38954059119259865</v>
      </c>
      <c r="H4" s="16">
        <f t="shared" si="0"/>
        <v>0.28570884862497703</v>
      </c>
      <c r="I4" s="16">
        <f t="shared" si="0"/>
        <v>-6.4558383579739642E-2</v>
      </c>
      <c r="J4" s="16">
        <f t="shared" si="0"/>
        <v>0.42686937930297919</v>
      </c>
      <c r="K4" s="16">
        <f t="shared" si="0"/>
        <v>0.30653223145994524</v>
      </c>
      <c r="L4" s="16">
        <f t="shared" si="0"/>
        <v>7.5634798882219245E-2</v>
      </c>
      <c r="M4" s="16">
        <f t="shared" si="0"/>
        <v>0.14665234536046889</v>
      </c>
      <c r="N4" s="16">
        <f t="shared" si="0"/>
        <v>0.26204302397895685</v>
      </c>
      <c r="O4" s="16">
        <f t="shared" si="0"/>
        <v>0.35711033654534274</v>
      </c>
      <c r="P4" s="16">
        <f t="shared" si="0"/>
        <v>0.11270744869183957</v>
      </c>
      <c r="Q4" s="16">
        <f t="shared" si="0"/>
        <v>0.12157396754699579</v>
      </c>
      <c r="R4" s="16">
        <f t="shared" si="0"/>
        <v>0.35234930253540453</v>
      </c>
      <c r="S4" s="16">
        <f t="shared" si="0"/>
        <v>4.1621286406871461E-2</v>
      </c>
      <c r="T4" s="16">
        <f t="shared" si="0"/>
        <v>-4.6017838165217317E-2</v>
      </c>
      <c r="U4" s="16">
        <f t="shared" si="0"/>
        <v>6.5325739283396578E-2</v>
      </c>
      <c r="V4" s="16">
        <f t="shared" si="0"/>
        <v>0.46063610108668573</v>
      </c>
      <c r="W4" s="16">
        <f t="shared" si="0"/>
        <v>0.29712694080693991</v>
      </c>
      <c r="X4" s="16">
        <f t="shared" si="0"/>
        <v>0.19584569732937696</v>
      </c>
      <c r="Y4" s="16">
        <f t="shared" si="0"/>
        <v>0.17866004962779147</v>
      </c>
      <c r="Z4" s="16">
        <f t="shared" si="0"/>
        <v>0.10526315789473695</v>
      </c>
      <c r="AA4" s="16">
        <f t="shared" si="0"/>
        <v>6.6666666666666652E-2</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111</v>
      </c>
      <c r="AC6" s="19" t="s">
        <v>112</v>
      </c>
      <c r="AD6" s="19" t="s">
        <v>113</v>
      </c>
      <c r="AE6" s="19" t="s">
        <v>114</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V107/V3</f>
        <v>-9.3528433542163072E-2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1">C8/C3</f>
        <v>4.9999635464891626E-2</v>
      </c>
      <c r="D9" s="15" t="e">
        <f t="shared" si="1"/>
        <v>#VALUE!</v>
      </c>
      <c r="E9" s="15">
        <f t="shared" si="1"/>
        <v>5.00984591264763E-2</v>
      </c>
      <c r="F9" s="15">
        <f t="shared" si="1"/>
        <v>5.2270601339983673E-2</v>
      </c>
      <c r="G9" s="15">
        <f t="shared" si="1"/>
        <v>5.0360020266750398E-2</v>
      </c>
      <c r="H9" s="15">
        <f t="shared" si="1"/>
        <v>5.6497373742606424E-2</v>
      </c>
      <c r="I9" s="15">
        <f t="shared" si="1"/>
        <v>6.8262234256114898E-2</v>
      </c>
      <c r="J9" s="15">
        <f t="shared" si="1"/>
        <v>5.1815956464727392E-2</v>
      </c>
      <c r="K9" s="15">
        <f t="shared" si="1"/>
        <v>5.1038530334761328E-2</v>
      </c>
      <c r="L9" s="15">
        <f t="shared" si="1"/>
        <v>6.3344163081408542E-2</v>
      </c>
      <c r="M9" s="15">
        <f t="shared" si="1"/>
        <v>6.4691659190356465E-2</v>
      </c>
      <c r="N9" s="15">
        <f t="shared" si="1"/>
        <v>5.7426993692756688E-2</v>
      </c>
      <c r="O9" s="15">
        <f t="shared" si="1"/>
        <v>5.0351178085081272E-2</v>
      </c>
      <c r="P9" s="15">
        <f t="shared" si="1"/>
        <v>5.5964754941498204E-2</v>
      </c>
      <c r="Q9" s="15">
        <f t="shared" si="1"/>
        <v>5.7946122404302094E-2</v>
      </c>
      <c r="R9" s="15">
        <f t="shared" si="1"/>
        <v>4.9130901070438493E-2</v>
      </c>
      <c r="S9" s="15">
        <f t="shared" si="1"/>
        <v>5.1396713480899109E-2</v>
      </c>
      <c r="T9" s="15">
        <f t="shared" si="1"/>
        <v>6.6325056202218388E-2</v>
      </c>
      <c r="U9" s="15">
        <f t="shared" si="1"/>
        <v>6.3070673088545581E-2</v>
      </c>
      <c r="V9" s="15">
        <f t="shared" si="1"/>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115</v>
      </c>
      <c r="AC12" s="19" t="s">
        <v>116</v>
      </c>
      <c r="AD12" s="19" t="s">
        <v>117</v>
      </c>
      <c r="AE12" s="19" t="s">
        <v>118</v>
      </c>
    </row>
    <row r="13" spans="1:31" ht="19" x14ac:dyDescent="0.25">
      <c r="A13" s="14" t="s">
        <v>99</v>
      </c>
      <c r="B13" s="15">
        <f>B12/B3</f>
        <v>8.1946294451471363E-2</v>
      </c>
      <c r="C13" s="15">
        <f t="shared" ref="C13:V13" si="2">C12/C3</f>
        <v>6.7234855388922501E-2</v>
      </c>
      <c r="D13" s="15" t="e">
        <f t="shared" si="2"/>
        <v>#VALUE!</v>
      </c>
      <c r="E13" s="15">
        <f t="shared" si="2"/>
        <v>5.9391867323375661E-2</v>
      </c>
      <c r="F13" s="15">
        <f t="shared" si="2"/>
        <v>5.3857163161356643E-2</v>
      </c>
      <c r="G13" s="15">
        <f t="shared" si="2"/>
        <v>5.721551024874344E-2</v>
      </c>
      <c r="H13" s="15">
        <f t="shared" si="2"/>
        <v>6.058245745167002E-2</v>
      </c>
      <c r="I13" s="15">
        <f t="shared" si="2"/>
        <v>6.1199464408268046E-2</v>
      </c>
      <c r="J13" s="15">
        <f t="shared" si="2"/>
        <v>5.1099332167143956E-2</v>
      </c>
      <c r="K13" s="15">
        <f t="shared" si="2"/>
        <v>4.7001746267168271E-2</v>
      </c>
      <c r="L13" s="15">
        <f t="shared" si="2"/>
        <v>5.4424908815099315E-2</v>
      </c>
      <c r="M13" s="15">
        <f t="shared" si="2"/>
        <v>4.9620622057681273E-2</v>
      </c>
      <c r="N13" s="15">
        <f t="shared" si="2"/>
        <v>4.15954994608786E-2</v>
      </c>
      <c r="O13" s="15">
        <f t="shared" si="2"/>
        <v>3.6776644711235436E-2</v>
      </c>
      <c r="P13" s="15">
        <f t="shared" si="2"/>
        <v>4.5442420538614615E-2</v>
      </c>
      <c r="Q13" s="15">
        <f t="shared" si="2"/>
        <v>4.4705905078173257E-2</v>
      </c>
      <c r="R13" s="15">
        <f t="shared" si="2"/>
        <v>5.0640203874908793E-2</v>
      </c>
      <c r="S13" s="15">
        <f t="shared" si="2"/>
        <v>6.2388440046166678E-2</v>
      </c>
      <c r="T13" s="15">
        <f t="shared" si="2"/>
        <v>6.5606338610018147E-2</v>
      </c>
      <c r="U13" s="15">
        <f t="shared" si="2"/>
        <v>5.2347458356079207E-2</v>
      </c>
      <c r="V13" s="15">
        <f t="shared" si="2"/>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119</v>
      </c>
      <c r="AC15" s="19" t="s">
        <v>120</v>
      </c>
      <c r="AD15" s="19" t="s">
        <v>121</v>
      </c>
      <c r="AE15" s="19" t="s">
        <v>122</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5">
        <f>(V35+U35+T35+S35+R35)/5</f>
        <v>7.4334647250365263E-3</v>
      </c>
      <c r="AC16" s="26">
        <f>AD101/V3</f>
        <v>2.5178034775703848</v>
      </c>
      <c r="AD16" s="26">
        <f>AD101/V28</f>
        <v>45.878168387904459</v>
      </c>
      <c r="AE16" s="27">
        <f>AD101/V107</f>
        <v>-26.920192953251451</v>
      </c>
    </row>
    <row r="17" spans="1:31"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31"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123</v>
      </c>
      <c r="AC18" s="19" t="s">
        <v>162</v>
      </c>
      <c r="AD18" s="19" t="s">
        <v>163</v>
      </c>
      <c r="AE18" s="19" t="s">
        <v>164</v>
      </c>
    </row>
    <row r="19" spans="1:31"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W19" s="64">
        <v>777000000</v>
      </c>
      <c r="X19" s="64">
        <v>976400000</v>
      </c>
      <c r="Y19" s="64">
        <v>1253000000</v>
      </c>
      <c r="Z19" s="64">
        <v>2106000000</v>
      </c>
      <c r="AA19" s="64">
        <v>3235000000</v>
      </c>
      <c r="AB19" s="28">
        <f>V40-V56-V61</f>
        <v>-353167000</v>
      </c>
      <c r="AC19" s="35">
        <f>AD101/W3</f>
        <v>1.941061740652819</v>
      </c>
      <c r="AD19" s="36">
        <f>X116/W31</f>
        <v>21.321642429426863</v>
      </c>
      <c r="AE19" s="37">
        <f>AD101/W106</f>
        <v>53.683857743126794</v>
      </c>
    </row>
    <row r="20" spans="1:31" ht="19" customHeight="1" x14ac:dyDescent="0.25">
      <c r="A20" s="14" t="s">
        <v>100</v>
      </c>
      <c r="B20" s="1"/>
      <c r="C20" s="15">
        <f>(C19/B19)-1</f>
        <v>-6.3697857948139758E-2</v>
      </c>
      <c r="D20" s="15">
        <f>(D19/C19)-1</f>
        <v>1.922335942203492</v>
      </c>
      <c r="E20" s="15">
        <f>(E19/D19)-1</f>
        <v>1.4002884219200658</v>
      </c>
      <c r="F20" s="15">
        <f t="shared" ref="F20:V20" si="3">(F19/E19)-1</f>
        <v>1.3891511458243926</v>
      </c>
      <c r="G20" s="15">
        <f t="shared" si="3"/>
        <v>0.11287541313407101</v>
      </c>
      <c r="H20" s="15">
        <f t="shared" si="3"/>
        <v>0.40318936019110341</v>
      </c>
      <c r="I20" s="15">
        <f t="shared" si="3"/>
        <v>-0.37006533541915887</v>
      </c>
      <c r="J20" s="15">
        <f t="shared" si="3"/>
        <v>0.66047038200277552</v>
      </c>
      <c r="K20" s="15">
        <f t="shared" si="3"/>
        <v>0.41227703609211086</v>
      </c>
      <c r="L20" s="15">
        <f t="shared" si="3"/>
        <v>-0.17244440291534291</v>
      </c>
      <c r="M20" s="15">
        <f t="shared" si="3"/>
        <v>-0.34057848284687331</v>
      </c>
      <c r="N20" s="15">
        <f t="shared" si="3"/>
        <v>1.4746725264689933</v>
      </c>
      <c r="O20" s="15">
        <f t="shared" si="3"/>
        <v>0.78739549097618644</v>
      </c>
      <c r="P20" s="15">
        <f t="shared" si="3"/>
        <v>-0.22382156728647562</v>
      </c>
      <c r="Q20" s="15">
        <f t="shared" si="3"/>
        <v>-8.6099266019966203E-2</v>
      </c>
      <c r="R20" s="15">
        <f t="shared" si="3"/>
        <v>2.0328345991177388E-2</v>
      </c>
      <c r="S20" s="15">
        <f t="shared" si="3"/>
        <v>4.9153146728472041E-2</v>
      </c>
      <c r="T20" s="15">
        <f t="shared" si="3"/>
        <v>2.073172804051282E-3</v>
      </c>
      <c r="U20" s="15">
        <f t="shared" si="3"/>
        <v>0.26736929573165558</v>
      </c>
      <c r="V20" s="15">
        <f t="shared" si="3"/>
        <v>1.5217132420335719</v>
      </c>
      <c r="W20" s="16">
        <f t="shared" ref="W20" si="4">(W19/V19)-1</f>
        <v>1.0614289921283659</v>
      </c>
      <c r="X20" s="16">
        <f t="shared" ref="X20" si="5">(X19/W19)-1</f>
        <v>0.25662805662805654</v>
      </c>
      <c r="Y20" s="16">
        <f t="shared" ref="Y20" si="6">(Y19/X19)-1</f>
        <v>0.28328553871364193</v>
      </c>
      <c r="Z20" s="16">
        <f t="shared" ref="Z20" si="7">(Z19/Y19)-1</f>
        <v>0.68076616121308864</v>
      </c>
      <c r="AA20" s="16">
        <f t="shared" ref="AA20" si="8">(AA19/Z19)-1</f>
        <v>0.53608736942070268</v>
      </c>
    </row>
    <row r="21" spans="1:31" ht="20"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c r="W21" s="62">
        <f>W19/W3</f>
        <v>0.11528189910979228</v>
      </c>
      <c r="X21" s="62">
        <f t="shared" ref="X21:AA21" si="9">X19/X3</f>
        <v>0.12114143920595534</v>
      </c>
      <c r="Y21" s="62">
        <f t="shared" si="9"/>
        <v>0.13189473684210526</v>
      </c>
      <c r="Z21" s="62">
        <f t="shared" si="9"/>
        <v>0.20057142857142857</v>
      </c>
      <c r="AA21" s="62">
        <f t="shared" si="9"/>
        <v>0.28883928571428569</v>
      </c>
      <c r="AD21" s="18" t="s">
        <v>165</v>
      </c>
      <c r="AE21" s="19" t="s">
        <v>166</v>
      </c>
    </row>
    <row r="22" spans="1:31"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c r="AD22" s="38">
        <f>(-1*V98)/AD101</f>
        <v>0</v>
      </c>
      <c r="AE22" s="39">
        <f>V107/AD101</f>
        <v>-3.7146836270325431E-2</v>
      </c>
    </row>
    <row r="23" spans="1:31"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31"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31"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31"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31"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31"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c r="W28" s="61">
        <v>613700000</v>
      </c>
      <c r="X28" s="61">
        <v>707400000</v>
      </c>
      <c r="Y28" s="61">
        <v>1006000000</v>
      </c>
      <c r="Z28" s="61">
        <v>910900000</v>
      </c>
      <c r="AA28" s="61">
        <v>1096000000</v>
      </c>
    </row>
    <row r="29" spans="1:31" ht="20" customHeight="1" thickTop="1" x14ac:dyDescent="0.25">
      <c r="A29" s="14" t="s">
        <v>101</v>
      </c>
      <c r="B29" s="1"/>
      <c r="C29" s="15">
        <f>(C28/B28)-1</f>
        <v>0.59718437783832878</v>
      </c>
      <c r="D29" s="15">
        <f>(D28/C28)-1</f>
        <v>0.38015353994882006</v>
      </c>
      <c r="E29" s="15">
        <f>(E28/D28)-1</f>
        <v>0.46065100947672022</v>
      </c>
      <c r="F29" s="15">
        <f t="shared" ref="F29:V29" si="10">(F28/E28)-1</f>
        <v>1.3902679830747533</v>
      </c>
      <c r="G29" s="15">
        <f t="shared" si="10"/>
        <v>0.14114592553254268</v>
      </c>
      <c r="H29" s="15">
        <f t="shared" si="10"/>
        <v>0.31439060964889598</v>
      </c>
      <c r="I29" s="15">
        <f t="shared" si="10"/>
        <v>-0.36634013926590347</v>
      </c>
      <c r="J29" s="15">
        <f t="shared" si="10"/>
        <v>0.6710126032159931</v>
      </c>
      <c r="K29" s="15">
        <f t="shared" si="10"/>
        <v>0.49407393646665421</v>
      </c>
      <c r="L29" s="15">
        <f t="shared" si="10"/>
        <v>-0.25762813020664954</v>
      </c>
      <c r="M29" s="15">
        <f t="shared" si="10"/>
        <v>-0.28720731584765347</v>
      </c>
      <c r="N29" s="15">
        <f t="shared" si="10"/>
        <v>1.5450914046712723</v>
      </c>
      <c r="O29" s="15">
        <f t="shared" si="10"/>
        <v>0.8808833576453643</v>
      </c>
      <c r="P29" s="15">
        <f t="shared" si="10"/>
        <v>-0.29296211578296338</v>
      </c>
      <c r="Q29" s="15">
        <f t="shared" si="10"/>
        <v>-7.1742963857763686E-2</v>
      </c>
      <c r="R29" s="15">
        <f t="shared" si="10"/>
        <v>-0.30946540221976249</v>
      </c>
      <c r="S29" s="15">
        <f t="shared" si="10"/>
        <v>0.55784685367702802</v>
      </c>
      <c r="T29" s="15">
        <f t="shared" si="10"/>
        <v>0.17227954058789186</v>
      </c>
      <c r="U29" s="15">
        <f t="shared" si="10"/>
        <v>0.32686103335389283</v>
      </c>
      <c r="V29" s="15">
        <f t="shared" si="10"/>
        <v>1.549170875608993</v>
      </c>
      <c r="W29" s="16">
        <f t="shared" ref="W29" si="11">(W28/V28)-1</f>
        <v>1.1521024817385146</v>
      </c>
      <c r="X29" s="16">
        <f t="shared" ref="X29" si="12">(X28/W28)-1</f>
        <v>0.15268046276682412</v>
      </c>
      <c r="Y29" s="16">
        <f t="shared" ref="Y29" si="13">(Y28/X28)-1</f>
        <v>0.4221091320327961</v>
      </c>
      <c r="Z29" s="16">
        <f t="shared" ref="Z29" si="14">(Z28/Y28)-1</f>
        <v>-9.4532803180914504E-2</v>
      </c>
      <c r="AA29" s="16">
        <f t="shared" ref="AA29" si="15">(AA28/Z28)-1</f>
        <v>0.20320562081457894</v>
      </c>
    </row>
    <row r="30" spans="1:31"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c r="W30" s="62">
        <f>W28/W3</f>
        <v>9.1053412462908018E-2</v>
      </c>
      <c r="X30" s="62">
        <f t="shared" ref="X30:AA30" si="16">X28/X3</f>
        <v>8.7766749379652606E-2</v>
      </c>
      <c r="Y30" s="62">
        <f t="shared" si="16"/>
        <v>0.10589473684210526</v>
      </c>
      <c r="Z30" s="62">
        <f t="shared" si="16"/>
        <v>8.6752380952380956E-2</v>
      </c>
      <c r="AA30" s="62">
        <f t="shared" si="16"/>
        <v>9.7857142857142851E-2</v>
      </c>
    </row>
    <row r="31" spans="1:31"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c r="W31" s="63">
        <v>11.69</v>
      </c>
      <c r="X31" s="63">
        <v>13.48</v>
      </c>
      <c r="Y31" s="63">
        <v>19.170000000000002</v>
      </c>
      <c r="Z31" s="63">
        <v>17.350000000000001</v>
      </c>
      <c r="AA31" s="63">
        <v>20.88</v>
      </c>
    </row>
    <row r="32" spans="1:31"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17">(D34-C34)/C34</f>
        <v>9.0789706911295967E-2</v>
      </c>
      <c r="E35" s="22">
        <f t="shared" si="17"/>
        <v>4.9204651357710322E-2</v>
      </c>
      <c r="F35" s="22">
        <f t="shared" si="17"/>
        <v>8.1665977185299304E-2</v>
      </c>
      <c r="G35" s="22">
        <f t="shared" si="17"/>
        <v>6.5915752332788555E-2</v>
      </c>
      <c r="H35" s="22">
        <f t="shared" si="17"/>
        <v>0.14426048208107953</v>
      </c>
      <c r="I35" s="22">
        <f t="shared" si="17"/>
        <v>8.0471329424330173E-3</v>
      </c>
      <c r="J35" s="22">
        <f t="shared" si="17"/>
        <v>4.0341710422079506E-2</v>
      </c>
      <c r="K35" s="22">
        <f t="shared" si="17"/>
        <v>4.076642451163285E-2</v>
      </c>
      <c r="L35" s="22">
        <f t="shared" si="17"/>
        <v>4.1419738715731708E-2</v>
      </c>
      <c r="M35" s="22">
        <f t="shared" si="17"/>
        <v>-5.5490125022649031E-3</v>
      </c>
      <c r="N35" s="22">
        <f t="shared" si="17"/>
        <v>5.9329947388799049E-2</v>
      </c>
      <c r="O35" s="22">
        <f t="shared" si="17"/>
        <v>7.7012383900928794E-2</v>
      </c>
      <c r="P35" s="22">
        <f t="shared" si="17"/>
        <v>3.4774623707430029E-2</v>
      </c>
      <c r="Q35" s="22">
        <f t="shared" si="17"/>
        <v>-3.0287830851145922E-3</v>
      </c>
      <c r="R35" s="22">
        <f t="shared" si="17"/>
        <v>9.1333036629965749E-3</v>
      </c>
      <c r="S35" s="22">
        <f t="shared" si="17"/>
        <v>-8.3411631608214607E-3</v>
      </c>
      <c r="T35" s="22">
        <f t="shared" si="17"/>
        <v>2.1695413411710111E-2</v>
      </c>
      <c r="U35" s="22">
        <f t="shared" si="17"/>
        <v>1.2661342215829516E-2</v>
      </c>
      <c r="V35" s="22">
        <f t="shared" si="17"/>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1.0473577389949732E-2</v>
      </c>
      <c r="I80" s="15">
        <f t="shared" si="18"/>
        <v>1.2770737862656718E-2</v>
      </c>
      <c r="J80" s="15">
        <f t="shared" si="18"/>
        <v>1.1166586733717936E-2</v>
      </c>
      <c r="K80" s="15">
        <f t="shared" si="18"/>
        <v>1.087650729591696E-2</v>
      </c>
      <c r="L80" s="15">
        <f t="shared" si="18"/>
        <v>1.1205534415519088E-2</v>
      </c>
      <c r="M80" s="15">
        <f t="shared" si="18"/>
        <v>9.5151996325354114E-3</v>
      </c>
      <c r="N80" s="15">
        <f t="shared" si="18"/>
        <v>9.3368193336704833E-3</v>
      </c>
      <c r="O80" s="15">
        <f t="shared" si="18"/>
        <v>8.1013281236267387E-3</v>
      </c>
      <c r="P80" s="15">
        <f t="shared" si="18"/>
        <v>8.8758077481536374E-3</v>
      </c>
      <c r="Q80" s="15">
        <f t="shared" si="18"/>
        <v>9.9222150813966913E-3</v>
      </c>
      <c r="R80" s="15">
        <f t="shared" si="18"/>
        <v>6.3038388426456598E-3</v>
      </c>
      <c r="S80" s="15">
        <f t="shared" si="18"/>
        <v>5.7676924659177909E-3</v>
      </c>
      <c r="T80" s="15">
        <f t="shared" si="18"/>
        <v>8.5494452248852364E-3</v>
      </c>
      <c r="U80" s="15" t="e">
        <f t="shared" si="18"/>
        <v>#VALUE!</v>
      </c>
      <c r="V80" s="15">
        <f t="shared" si="18"/>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6" t="s">
        <v>124</v>
      </c>
      <c r="AD83" s="67"/>
    </row>
    <row r="84" spans="1:30" ht="19"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8" t="s">
        <v>125</v>
      </c>
      <c r="AD84" s="68"/>
    </row>
    <row r="85" spans="1:30" ht="20"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AC85" s="40" t="s">
        <v>126</v>
      </c>
      <c r="AD85" s="41">
        <f>V17</f>
        <v>6413000</v>
      </c>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AC86" s="40" t="s">
        <v>127</v>
      </c>
      <c r="AD86" s="41">
        <f>V56</f>
        <v>456285000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AC87" s="40" t="s">
        <v>128</v>
      </c>
      <c r="AD87" s="41">
        <f>V61</f>
        <v>164279000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42" t="s">
        <v>129</v>
      </c>
      <c r="AD88" s="43">
        <f>AD85/(AD86+AD87)</f>
        <v>1.0334147646334625E-2</v>
      </c>
    </row>
    <row r="89" spans="1:30" ht="20" customHeight="1" x14ac:dyDescent="0.25">
      <c r="A89" s="14" t="s">
        <v>104</v>
      </c>
      <c r="B89" s="15" t="e">
        <f t="shared" ref="B89:V89" si="19">(-1*B88)/B3</f>
        <v>#VALUE!</v>
      </c>
      <c r="C89" s="15" t="e">
        <f t="shared" si="19"/>
        <v>#VALUE!</v>
      </c>
      <c r="D89" s="15">
        <f t="shared" si="19"/>
        <v>6.2849789004279771E-3</v>
      </c>
      <c r="E89" s="15">
        <f t="shared" si="19"/>
        <v>5.4079324527892034E-2</v>
      </c>
      <c r="F89" s="15">
        <f t="shared" si="19"/>
        <v>1.0054835542951203E-2</v>
      </c>
      <c r="G89" s="15">
        <f t="shared" si="19"/>
        <v>3.8261816918930623E-2</v>
      </c>
      <c r="H89" s="15">
        <f t="shared" si="19"/>
        <v>6.5883075579599003E-3</v>
      </c>
      <c r="I89" s="15">
        <f t="shared" si="19"/>
        <v>4.3952935964351902E-2</v>
      </c>
      <c r="J89" s="15">
        <f t="shared" si="19"/>
        <v>3.5203302293474979E-2</v>
      </c>
      <c r="K89" s="15">
        <f t="shared" si="19"/>
        <v>2.6376485016688204E-2</v>
      </c>
      <c r="L89" s="15">
        <f t="shared" si="19"/>
        <v>4.9325655850727011E-3</v>
      </c>
      <c r="M89" s="15">
        <f t="shared" si="19"/>
        <v>3.4894513062110291E-2</v>
      </c>
      <c r="N89" s="15">
        <f t="shared" si="19"/>
        <v>2.3923086255334985E-2</v>
      </c>
      <c r="O89" s="15">
        <f t="shared" si="19"/>
        <v>1.7129756347446581E-2</v>
      </c>
      <c r="P89" s="15">
        <f t="shared" si="19"/>
        <v>1.3253907679864306E-2</v>
      </c>
      <c r="Q89" s="15">
        <f t="shared" si="19"/>
        <v>9.9898226468442351E-3</v>
      </c>
      <c r="R89" s="15">
        <f t="shared" si="19"/>
        <v>7.3944529551030029E-3</v>
      </c>
      <c r="S89" s="15">
        <f t="shared" si="19"/>
        <v>1.2666697139722771E-2</v>
      </c>
      <c r="T89" s="15">
        <f t="shared" si="19"/>
        <v>1.7373799928787067E-2</v>
      </c>
      <c r="U89" s="15">
        <f t="shared" si="19"/>
        <v>-7.9874695776885621E-2</v>
      </c>
      <c r="V89" s="15">
        <f t="shared" si="19"/>
        <v>8.6953693530473532E-3</v>
      </c>
      <c r="AC89" s="40" t="s">
        <v>105</v>
      </c>
      <c r="AD89" s="41">
        <f>V27</f>
        <v>52876000</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AC90" s="40" t="s">
        <v>19</v>
      </c>
      <c r="AD90" s="41">
        <f>V25</f>
        <v>336833000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AC91" s="42" t="s">
        <v>130</v>
      </c>
      <c r="AD91" s="43">
        <f>AD89/AD90</f>
        <v>0.15697986836206665</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AC92" s="42" t="s">
        <v>131</v>
      </c>
      <c r="AD92" s="43">
        <f>AD88*(1-AD91)</f>
        <v>8.7118945091788549E-3</v>
      </c>
    </row>
    <row r="93" spans="1:30" ht="19"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AC93" s="68" t="s">
        <v>132</v>
      </c>
      <c r="AD93" s="68"/>
    </row>
    <row r="94" spans="1:30" ht="20"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40" t="s">
        <v>133</v>
      </c>
      <c r="AD94" s="44">
        <f>[1]Treasuries!$C$8</f>
        <v>3.8539999999999998E-2</v>
      </c>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AC95" s="40" t="s">
        <v>134</v>
      </c>
      <c r="AD95" s="45" cm="1">
        <f t="array" ref="AD95">_FV(A1,"Beta")</f>
        <v>1.1739999999999999</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AC96" s="40" t="s">
        <v>135</v>
      </c>
      <c r="AD96" s="44">
        <v>8.4000000000000005E-2</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AC97" s="42" t="s">
        <v>136</v>
      </c>
      <c r="AD97" s="43">
        <f>(AD94)+((AD95)*(AD96-AD94))</f>
        <v>9.1910039999999998E-2</v>
      </c>
    </row>
    <row r="98" spans="1:3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0</v>
      </c>
      <c r="AC98" s="68" t="s">
        <v>137</v>
      </c>
      <c r="AD98" s="68"/>
    </row>
    <row r="99" spans="1:30" ht="20"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AC99" s="40" t="s">
        <v>138</v>
      </c>
      <c r="AD99" s="41">
        <f>AD86+AD87</f>
        <v>620564000</v>
      </c>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AC100" s="42" t="s">
        <v>139</v>
      </c>
      <c r="AD100" s="43">
        <f>AD99/AD103</f>
        <v>4.5285667562480619E-2</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AC101" s="40" t="s">
        <v>140</v>
      </c>
      <c r="AD101" s="46" cm="1">
        <f t="array" ref="AD101">_FV(A1,"Market cap",TRUE)</f>
        <v>13082756132</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AC102" s="42" t="s">
        <v>141</v>
      </c>
      <c r="AD102" s="43">
        <f>AD101/AD103</f>
        <v>0.95471433243751935</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42" t="s">
        <v>142</v>
      </c>
      <c r="AD103" s="47">
        <f>AD99+AD101</f>
        <v>13703320132</v>
      </c>
    </row>
    <row r="104" spans="1:30" ht="20"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AC104" s="68" t="s">
        <v>143</v>
      </c>
      <c r="AD104" s="68"/>
    </row>
    <row r="105" spans="1:30" ht="21" thickTop="1" x14ac:dyDescent="0.25">
      <c r="A105" s="14" t="s">
        <v>159</v>
      </c>
      <c r="C105" s="1" t="e">
        <f t="shared" ref="C105:U105" si="20">(C22*(1-$AD$91))+C77+C88+C81</f>
        <v>#VALUE!</v>
      </c>
      <c r="D105" s="1">
        <f t="shared" si="20"/>
        <v>132645158.29209134</v>
      </c>
      <c r="E105" s="1">
        <f t="shared" si="20"/>
        <v>-13326303.251166008</v>
      </c>
      <c r="F105" s="1">
        <f t="shared" si="20"/>
        <v>12105745.096234631</v>
      </c>
      <c r="G105" s="1">
        <f t="shared" si="20"/>
        <v>-11744482.963367604</v>
      </c>
      <c r="H105" s="1">
        <f t="shared" si="20"/>
        <v>25395263.721191213</v>
      </c>
      <c r="I105" s="1">
        <f t="shared" si="20"/>
        <v>-41033252.879023135</v>
      </c>
      <c r="J105" s="1">
        <f t="shared" si="20"/>
        <v>-40486144.736412406</v>
      </c>
      <c r="K105" s="1">
        <f t="shared" si="20"/>
        <v>-2632619.4137747809</v>
      </c>
      <c r="L105" s="1">
        <f t="shared" si="20"/>
        <v>12106728.337187864</v>
      </c>
      <c r="M105" s="1">
        <f t="shared" si="20"/>
        <v>-77060259.264977008</v>
      </c>
      <c r="N105" s="1">
        <f t="shared" si="20"/>
        <v>-125760047.25487112</v>
      </c>
      <c r="O105" s="1">
        <f t="shared" si="20"/>
        <v>108588832.23734015</v>
      </c>
      <c r="P105" s="1">
        <f t="shared" si="20"/>
        <v>-131891298.93448682</v>
      </c>
      <c r="Q105" s="1">
        <f t="shared" si="20"/>
        <v>40873534.98914893</v>
      </c>
      <c r="R105" s="1">
        <f t="shared" si="20"/>
        <v>195742808.7479552</v>
      </c>
      <c r="S105" s="1">
        <f t="shared" si="20"/>
        <v>-98689623.54044883</v>
      </c>
      <c r="T105" s="1">
        <f t="shared" si="20"/>
        <v>-2126953.6446844637</v>
      </c>
      <c r="U105" s="1">
        <f t="shared" si="20"/>
        <v>372318816.25612694</v>
      </c>
      <c r="V105" s="1">
        <f>(V22*(1-$AD$91))+V77+V88+V81</f>
        <v>-514257471.53930879</v>
      </c>
      <c r="W105" s="29">
        <f>V105*(1+$AD$106)</f>
        <v>-601019136.47408175</v>
      </c>
      <c r="X105" s="29">
        <f t="shared" ref="X105:AA105" si="21">W105*(1+$AD$106)</f>
        <v>-702418579.01803899</v>
      </c>
      <c r="Y105" s="29">
        <f t="shared" si="21"/>
        <v>-820925375.26215363</v>
      </c>
      <c r="Z105" s="29">
        <f t="shared" si="21"/>
        <v>-959425749.65973485</v>
      </c>
      <c r="AA105" s="29">
        <f t="shared" si="21"/>
        <v>-1121292868.8142855</v>
      </c>
      <c r="AB105" s="30" t="s">
        <v>157</v>
      </c>
      <c r="AC105" s="48" t="s">
        <v>106</v>
      </c>
      <c r="AD105" s="49">
        <f>(AD100*AD92)+(AD102*AD97)</f>
        <v>8.8142356441487768E-2</v>
      </c>
    </row>
    <row r="106" spans="1:30" ht="19" x14ac:dyDescent="0.25">
      <c r="A106" s="14" t="s">
        <v>160</v>
      </c>
      <c r="B106" s="1"/>
      <c r="C106" s="15" t="e">
        <f t="shared" ref="C106:V106" si="22">(C107/B107)-1</f>
        <v>#VALUE!</v>
      </c>
      <c r="D106" s="15" t="e">
        <f t="shared" si="22"/>
        <v>#VALUE!</v>
      </c>
      <c r="E106" s="15">
        <f t="shared" si="22"/>
        <v>-1.8791982665222102</v>
      </c>
      <c r="F106" s="15">
        <f t="shared" si="22"/>
        <v>-4.6805298829328406</v>
      </c>
      <c r="G106" s="15">
        <f t="shared" si="22"/>
        <v>-0.79768979660165729</v>
      </c>
      <c r="H106" s="15">
        <f t="shared" si="22"/>
        <v>6.5539925527513443</v>
      </c>
      <c r="I106" s="15">
        <f t="shared" si="22"/>
        <v>-2.3362361704458321</v>
      </c>
      <c r="J106" s="15">
        <f t="shared" si="22"/>
        <v>-0.30659507316473333</v>
      </c>
      <c r="K106" s="15">
        <f t="shared" si="22"/>
        <v>-0.50375362061831286</v>
      </c>
      <c r="L106" s="15">
        <f t="shared" si="22"/>
        <v>-2.022275163787969</v>
      </c>
      <c r="M106" s="15">
        <f t="shared" si="22"/>
        <v>-4.9651596364483801</v>
      </c>
      <c r="N106" s="15">
        <f t="shared" si="22"/>
        <v>1.3431778776925563</v>
      </c>
      <c r="O106" s="15">
        <f t="shared" si="22"/>
        <v>-1.9205503160429416</v>
      </c>
      <c r="P106" s="15">
        <f t="shared" si="22"/>
        <v>-2.7105080312257326</v>
      </c>
      <c r="Q106" s="15">
        <f t="shared" si="22"/>
        <v>-1.4740866407015365</v>
      </c>
      <c r="R106" s="15">
        <f t="shared" si="22"/>
        <v>2.9934983115770373</v>
      </c>
      <c r="S106" s="15">
        <f t="shared" si="22"/>
        <v>-1.3141372709871479</v>
      </c>
      <c r="T106" s="15">
        <f t="shared" si="22"/>
        <v>-1.8696566316691665</v>
      </c>
      <c r="U106" s="15">
        <f t="shared" si="22"/>
        <v>3.37561403778931</v>
      </c>
      <c r="V106" s="15">
        <f t="shared" si="22"/>
        <v>-2.7103164548052421</v>
      </c>
      <c r="W106" s="32">
        <v>243700000</v>
      </c>
      <c r="X106" s="32">
        <v>477900000</v>
      </c>
      <c r="Y106" s="32">
        <v>645400000</v>
      </c>
      <c r="Z106" s="32">
        <v>1353000000</v>
      </c>
      <c r="AA106" s="32">
        <v>2358000000</v>
      </c>
      <c r="AB106" s="30" t="s">
        <v>158</v>
      </c>
      <c r="AC106" s="50" t="s">
        <v>144</v>
      </c>
      <c r="AD106" s="51">
        <f>(SUM(W4:AA4)/5)</f>
        <v>0.16871250246510239</v>
      </c>
    </row>
    <row r="107" spans="1:30" ht="19" x14ac:dyDescent="0.25">
      <c r="A107" s="34" t="s">
        <v>161</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30"/>
      <c r="X107" s="30"/>
      <c r="Y107" s="30"/>
      <c r="Z107" s="30"/>
      <c r="AA107" s="33">
        <f>AA106*(1+AD107)/(AD108-AD107)</f>
        <v>38277792217.649002</v>
      </c>
      <c r="AB107" s="31" t="s">
        <v>145</v>
      </c>
      <c r="AC107" s="52" t="s">
        <v>146</v>
      </c>
      <c r="AD107" s="53">
        <v>2.5000000000000001E-2</v>
      </c>
    </row>
    <row r="108" spans="1:30" ht="19" x14ac:dyDescent="0.25">
      <c r="W108" s="33">
        <f t="shared" ref="W108:Y108" si="23">W107+W106</f>
        <v>243700000</v>
      </c>
      <c r="X108" s="33">
        <f t="shared" si="23"/>
        <v>477900000</v>
      </c>
      <c r="Y108" s="33">
        <f t="shared" si="23"/>
        <v>645400000</v>
      </c>
      <c r="Z108" s="33">
        <f>Z107+Z106</f>
        <v>1353000000</v>
      </c>
      <c r="AA108" s="33">
        <f>AA107+AA106</f>
        <v>40635792217.649002</v>
      </c>
      <c r="AB108" s="31" t="s">
        <v>142</v>
      </c>
      <c r="AC108" s="54" t="s">
        <v>147</v>
      </c>
      <c r="AD108" s="51">
        <f>AD105</f>
        <v>8.8142356441487768E-2</v>
      </c>
    </row>
    <row r="109" spans="1:30" ht="19" x14ac:dyDescent="0.25">
      <c r="W109" s="65" t="s">
        <v>148</v>
      </c>
      <c r="X109" s="65"/>
    </row>
    <row r="110" spans="1:30" ht="20" x14ac:dyDescent="0.25">
      <c r="W110" s="55" t="s">
        <v>149</v>
      </c>
      <c r="X110" s="46">
        <f>NPV(AD108,W108,X108,Y108,Z108,AA108)</f>
        <v>28730242047.295044</v>
      </c>
    </row>
    <row r="111" spans="1:30" ht="20" x14ac:dyDescent="0.25">
      <c r="W111" s="55" t="s">
        <v>150</v>
      </c>
      <c r="X111" s="46">
        <f>V40</f>
        <v>267397000</v>
      </c>
    </row>
    <row r="112" spans="1:30" ht="20" x14ac:dyDescent="0.25">
      <c r="W112" s="55" t="s">
        <v>138</v>
      </c>
      <c r="X112" s="46">
        <f>AD99</f>
        <v>620564000</v>
      </c>
    </row>
    <row r="113" spans="23:24" ht="20" x14ac:dyDescent="0.25">
      <c r="W113" s="55" t="s">
        <v>151</v>
      </c>
      <c r="X113" s="46">
        <f>X110+X111-X112</f>
        <v>28377075047.295044</v>
      </c>
    </row>
    <row r="114" spans="23:24" ht="20" x14ac:dyDescent="0.25">
      <c r="W114" s="55" t="s">
        <v>152</v>
      </c>
      <c r="X114" s="55">
        <f>V34*(1+(5*AB16))</f>
        <v>55607726.056164168</v>
      </c>
    </row>
    <row r="115" spans="23:24" ht="20" x14ac:dyDescent="0.25">
      <c r="W115" s="56" t="s">
        <v>153</v>
      </c>
      <c r="X115" s="57">
        <f>X113/X114</f>
        <v>510.30813629447846</v>
      </c>
    </row>
    <row r="116" spans="23:24" ht="20" x14ac:dyDescent="0.25">
      <c r="W116" s="55" t="s">
        <v>154</v>
      </c>
      <c r="X116" s="58" cm="1">
        <f t="array" ref="X116">_FV(A1,"Price",TRUE)</f>
        <v>249.25</v>
      </c>
    </row>
    <row r="117" spans="23:24" ht="20" x14ac:dyDescent="0.25">
      <c r="W117" s="56" t="s">
        <v>155</v>
      </c>
      <c r="X117" s="59">
        <f>X115/X116-1</f>
        <v>1.0473746691854702</v>
      </c>
    </row>
    <row r="118" spans="23:24" ht="20" x14ac:dyDescent="0.25">
      <c r="W118" s="56" t="s">
        <v>156</v>
      </c>
      <c r="X118" s="60" t="str">
        <f>IF(X115&gt;X116,"BUY","SELL")</f>
        <v>BUY</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6"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2023-03-13T04:15:10Z</dcterms:created>
  <dcterms:modified xsi:type="dcterms:W3CDTF">2023-07-01T07:47:29Z</dcterms:modified>
</cp:coreProperties>
</file>