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0FA2299-9E6C-F748-8797-6DFF0BDE851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4" i="1" l="1"/>
  <c r="K108" i="1"/>
  <c r="L108" i="1"/>
  <c r="M108" i="1"/>
  <c r="N108" i="1"/>
  <c r="L105" i="1"/>
  <c r="M105" i="1" s="1"/>
  <c r="N105" i="1" s="1"/>
  <c r="O105" i="1" s="1"/>
  <c r="K105" i="1"/>
  <c r="B105" i="1"/>
  <c r="C105" i="1"/>
  <c r="D105" i="1"/>
  <c r="E105" i="1"/>
  <c r="F105" i="1"/>
  <c r="G105" i="1"/>
  <c r="H105" i="1"/>
  <c r="I105" i="1"/>
  <c r="J105" i="1"/>
  <c r="K29" i="1"/>
  <c r="L29" i="1"/>
  <c r="M29" i="1"/>
  <c r="N29" i="1"/>
  <c r="O29" i="1"/>
  <c r="K30" i="1"/>
  <c r="L30" i="1"/>
  <c r="M30" i="1"/>
  <c r="N30" i="1"/>
  <c r="O30" i="1"/>
  <c r="K20" i="1"/>
  <c r="L20" i="1"/>
  <c r="M20" i="1"/>
  <c r="N20" i="1"/>
  <c r="O20" i="1"/>
  <c r="K21" i="1"/>
  <c r="L21" i="1"/>
  <c r="M21" i="1"/>
  <c r="N21" i="1"/>
  <c r="O21" i="1"/>
  <c r="L116" i="1" a="1"/>
  <c r="L116" i="1" s="1"/>
  <c r="R101" i="1" a="1"/>
  <c r="R101" i="1" s="1"/>
  <c r="R95" i="1" a="1"/>
  <c r="R95" i="1" s="1"/>
  <c r="L111" i="1"/>
  <c r="R90" i="1"/>
  <c r="R89" i="1"/>
  <c r="R91" i="1" s="1"/>
  <c r="R87" i="1"/>
  <c r="R86" i="1"/>
  <c r="R99" i="1" s="1"/>
  <c r="R85" i="1"/>
  <c r="R88" i="1" s="1"/>
  <c r="R92" i="1" s="1"/>
  <c r="P19" i="1"/>
  <c r="P16" i="1"/>
  <c r="L114" i="1" s="1"/>
  <c r="S13" i="1"/>
  <c r="R13" i="1"/>
  <c r="Q13" i="1"/>
  <c r="P13" i="1"/>
  <c r="S10" i="1"/>
  <c r="R10" i="1"/>
  <c r="Q10" i="1"/>
  <c r="P10" i="1"/>
  <c r="S7" i="1"/>
  <c r="R7" i="1"/>
  <c r="Q7" i="1"/>
  <c r="P7" i="1"/>
  <c r="R4" i="1"/>
  <c r="Q4" i="1"/>
  <c r="P4" i="1"/>
  <c r="O4" i="1"/>
  <c r="N4" i="1"/>
  <c r="M4" i="1"/>
  <c r="L4" i="1"/>
  <c r="K4" i="1"/>
  <c r="J77" i="1"/>
  <c r="J76" i="1"/>
  <c r="J73" i="1"/>
  <c r="J67" i="1"/>
  <c r="J65" i="1"/>
  <c r="J30" i="1"/>
  <c r="J26" i="1"/>
  <c r="J25" i="1"/>
  <c r="J23" i="1"/>
  <c r="J21" i="1"/>
  <c r="J7" i="1"/>
  <c r="J6" i="1"/>
  <c r="R19" i="1" l="1"/>
  <c r="S22" i="1"/>
  <c r="R22" i="1"/>
  <c r="R97" i="1"/>
  <c r="S19" i="1"/>
  <c r="Q19" i="1"/>
  <c r="R106" i="1"/>
  <c r="S16" i="1"/>
  <c r="Q16" i="1"/>
  <c r="R16" i="1"/>
  <c r="R103" i="1"/>
  <c r="R100" i="1" s="1"/>
  <c r="L112" i="1"/>
  <c r="R102" i="1" l="1"/>
  <c r="R105" i="1" s="1"/>
  <c r="R108" i="1" s="1"/>
  <c r="O107" i="1" s="1"/>
  <c r="O108" i="1" s="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<sst xmlns="http://schemas.openxmlformats.org/spreadsheetml/2006/main" count="397" uniqueCount="167">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</sst>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63787375415275E-2"/>
          <c:y val="0.14055285798134959"/>
          <c:w val="0.84599335548172772"/>
          <c:h val="0.674446319909739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366484422005391"/>
          <c:y val="0.91053257929487919"/>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33337</xdr:rowOff>
    </xdr:from>
    <xdr:to>
      <xdr:col>17</xdr:col>
      <xdr:colOff>1571625</xdr:colOff>
      <xdr:row>125</xdr:row>
      <xdr:rowOff>206374</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1198</v>
    <v>1.3201000000000001</v>
    <v>17</v>
    <v>1.0835999999999998E-2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1594</v>
    <v>Financial Technology (Fintech) &amp; Infrastructure</v>
    <v>Stock</v>
    <v>45107.666666666664</v>
    <v>0</v>
    <v>1528.6</v>
    <v>48634420000</v>
    <v>Adyen NV</v>
    <v>Adyen NV</v>
    <v>1550.2</v>
    <v>86.140500000000003</v>
    <v>1568.8</v>
    <v>1585.8</v>
    <v>31001030</v>
    <v>ADYEN</v>
    <v>Adyen NV (XAMS:ADYEN)</v>
    <v>80687</v>
    <v>62610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NASDAQGS:MBLY/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2" activePane="bottomRight" state="frozen"/>
      <selection pane="topRight"/>
      <selection pane="bottomLeft"/>
      <selection pane="bottomRight" activeCell="M16" sqref="M16"/>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11600000000</v>
      </c>
      <c r="L3" s="25">
        <v>14500000000</v>
      </c>
      <c r="M3" s="25">
        <v>17800000000</v>
      </c>
      <c r="N3" s="25">
        <v>21000000000</v>
      </c>
      <c r="O3" s="25">
        <v>23500000000</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6">
        <f>R101/J3</f>
        <v>5.4427333355640952</v>
      </c>
      <c r="R16" s="36">
        <f>R101/J28</f>
        <v>86.209994345365232</v>
      </c>
      <c r="S16" s="37">
        <f>R101/J107</f>
        <v>24.329374687343673</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31">
        <v>835400000</v>
      </c>
      <c r="L19" s="31">
        <v>1174000000</v>
      </c>
      <c r="M19" s="31">
        <v>1608000000</v>
      </c>
      <c r="N19" s="31">
        <v>2122000000</v>
      </c>
      <c r="O19" s="31">
        <v>2615000000</v>
      </c>
      <c r="P19" s="27">
        <f>J40-J56-J61</f>
        <v>5761725000</v>
      </c>
      <c r="Q19" s="36">
        <f>R101/K3</f>
        <v>4.1926224137931039</v>
      </c>
      <c r="R19" s="38">
        <f>R101/K28</f>
        <v>70.149170633203525</v>
      </c>
      <c r="S19" s="37">
        <f>R101/K105</f>
        <v>21.030865685209566</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32">
        <f t="shared" ref="K21:O21" si="9">K19/K3</f>
        <v>7.2017241379310343E-2</v>
      </c>
      <c r="L21" s="32">
        <f t="shared" si="9"/>
        <v>8.0965517241379306E-2</v>
      </c>
      <c r="M21" s="32">
        <f t="shared" si="9"/>
        <v>9.0337078651685387E-2</v>
      </c>
      <c r="N21" s="32">
        <f t="shared" si="9"/>
        <v>0.10104761904761905</v>
      </c>
      <c r="O21" s="32">
        <f t="shared" si="9"/>
        <v>0.11127659574468085</v>
      </c>
      <c r="R21" s="19" t="s">
        <v>165</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R22" s="42">
        <f>(-1*J98)/R101</f>
        <v>0</v>
      </c>
      <c r="S22" s="43">
        <f>J107/R101</f>
        <v>4.1102577145980153E-2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4">
        <v>693300000</v>
      </c>
      <c r="L28" s="34">
        <v>952500000</v>
      </c>
      <c r="M28" s="34">
        <v>1321000000</v>
      </c>
      <c r="N28" s="34">
        <v>1691000000</v>
      </c>
      <c r="O28" s="34">
        <v>1916000000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5">
        <f t="shared" ref="K30:O30" si="16">K28/K3</f>
        <v>5.9767241379310346E-2</v>
      </c>
      <c r="L30" s="35">
        <f t="shared" si="16"/>
        <v>6.5689655172413791E-2</v>
      </c>
      <c r="M30" s="35">
        <f t="shared" si="16"/>
        <v>7.4213483146067419E-2</v>
      </c>
      <c r="N30" s="35">
        <f t="shared" si="16"/>
        <v>8.0523809523809525E-2</v>
      </c>
      <c r="O30" s="35">
        <f t="shared" si="16"/>
        <v>8.1531914893617025E-2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3">
        <v>22.37</v>
      </c>
      <c r="L31" s="33">
        <v>30.74</v>
      </c>
      <c r="M31" s="33">
        <v>42.62</v>
      </c>
      <c r="N31" s="33">
        <v>54.58</v>
      </c>
      <c r="O31" s="33">
        <v>61.83</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8" ht="19" x14ac:dyDescent="0.25">
      <c r="A82" s="5" t="s">
        <v>70</v>
      </c>
      <c r="B82" s="1" t="s">
        <v>91</v>
      </c>
      <c r="C82" s="1" t="s">
        <v>91</v>
      </c>
      <c r="D82" s="1" t="s">
        <v>91</v>
      </c>
      <c r="E82" s="1" t="s">
        <v>91</v>
      </c>
      <c r="F82" s="1" t="s">
        <v>91</v>
      </c>
      <c r="G82" s="1" t="s">
        <v>91</v>
      </c>
      <c r="H82" s="1" t="s">
        <v>91</v>
      </c>
      <c r="I82" s="1" t="s">
        <v>91</v>
      </c>
      <c r="J82" s="1" t="s">
        <v>91</v>
      </c>
    </row>
    <row r="83" spans="1:18" ht="21" x14ac:dyDescent="0.25">
      <c r="A83" s="5" t="s">
        <v>34</v>
      </c>
      <c r="B83" s="1">
        <v>214000</v>
      </c>
      <c r="C83" s="1">
        <v>-1394000</v>
      </c>
      <c r="D83" s="1">
        <v>-1784000</v>
      </c>
      <c r="E83" s="1">
        <v>-771000</v>
      </c>
      <c r="F83" s="1">
        <v>-3847000</v>
      </c>
      <c r="G83" s="1">
        <v>844000</v>
      </c>
      <c r="H83" s="1">
        <v>-12528000</v>
      </c>
      <c r="I83" s="1">
        <v>-3851000</v>
      </c>
      <c r="J83" s="1"/>
      <c r="Q83" s="66" t="s">
        <v>124</v>
      </c>
      <c r="R83" s="67"/>
    </row>
    <row r="84" spans="1:18" ht="19" x14ac:dyDescent="0.25">
      <c r="A84" s="5" t="s">
        <v>47</v>
      </c>
      <c r="B84" s="1" t="s">
        <v>91</v>
      </c>
      <c r="C84" s="1" t="s">
        <v>91</v>
      </c>
      <c r="D84" s="1" t="s">
        <v>91</v>
      </c>
      <c r="E84" s="1" t="s">
        <v>91</v>
      </c>
      <c r="F84" s="1" t="s">
        <v>91</v>
      </c>
      <c r="G84" s="1" t="s">
        <v>91</v>
      </c>
      <c r="H84" s="1" t="s">
        <v>91</v>
      </c>
      <c r="I84" s="1" t="s">
        <v>91</v>
      </c>
      <c r="J84" s="1" t="s">
        <v>91</v>
      </c>
      <c r="Q84" s="68" t="s">
        <v>125</v>
      </c>
      <c r="R84" s="68"/>
    </row>
    <row r="85" spans="1:18" ht="20" x14ac:dyDescent="0.25">
      <c r="A85" s="5" t="s">
        <v>71</v>
      </c>
      <c r="B85" s="1" t="s">
        <v>91</v>
      </c>
      <c r="C85" s="1" t="s">
        <v>91</v>
      </c>
      <c r="D85" s="1" t="s">
        <v>91</v>
      </c>
      <c r="E85" s="1" t="s">
        <v>91</v>
      </c>
      <c r="F85" s="1" t="s">
        <v>91</v>
      </c>
      <c r="G85" s="1" t="s">
        <v>91</v>
      </c>
      <c r="H85" s="1" t="s">
        <v>91</v>
      </c>
      <c r="I85" s="1" t="s">
        <v>91</v>
      </c>
      <c r="J85" s="1" t="s">
        <v>91</v>
      </c>
      <c r="Q85" s="44" t="s">
        <v>126</v>
      </c>
      <c r="R85" s="4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44" t="s">
        <v>127</v>
      </c>
      <c r="R86" s="4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44" t="s">
        <v>128</v>
      </c>
      <c r="R87" s="4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46" t="s">
        <v>129</v>
      </c>
      <c r="R88" s="47">
        <f>R85/(R86+R87)</f>
        <v>5.8909850152408245E-2</v>
      </c>
    </row>
    <row r="89" spans="1:18"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44" t="s">
        <v>105</v>
      </c>
      <c r="R89" s="45">
        <f>J27</f>
        <v>149690000</v>
      </c>
    </row>
    <row r="90" spans="1:18" ht="20" x14ac:dyDescent="0.25">
      <c r="A90" s="5" t="s">
        <v>75</v>
      </c>
      <c r="B90" s="1" t="s">
        <v>91</v>
      </c>
      <c r="C90" s="1" t="s">
        <v>91</v>
      </c>
      <c r="D90" s="1" t="s">
        <v>91</v>
      </c>
      <c r="E90" s="1" t="s">
        <v>91</v>
      </c>
      <c r="F90" s="1" t="s">
        <v>91</v>
      </c>
      <c r="G90" s="1" t="s">
        <v>91</v>
      </c>
      <c r="H90" s="1" t="s">
        <v>91</v>
      </c>
      <c r="I90" s="1" t="s">
        <v>91</v>
      </c>
      <c r="J90" s="1" t="s">
        <v>91</v>
      </c>
      <c r="Q90" s="44" t="s">
        <v>19</v>
      </c>
      <c r="R90" s="45">
        <f>J25</f>
        <v>653424000</v>
      </c>
    </row>
    <row r="91" spans="1:18" ht="20" x14ac:dyDescent="0.25">
      <c r="A91" s="5" t="s">
        <v>76</v>
      </c>
      <c r="B91" s="1" t="s">
        <v>91</v>
      </c>
      <c r="C91" s="1" t="s">
        <v>91</v>
      </c>
      <c r="D91" s="1" t="s">
        <v>91</v>
      </c>
      <c r="E91" s="1">
        <v>-6989000</v>
      </c>
      <c r="F91" s="1">
        <v>-9607000</v>
      </c>
      <c r="G91" s="1">
        <v>-10073000</v>
      </c>
      <c r="H91" s="1">
        <v>-13355000</v>
      </c>
      <c r="I91" s="1">
        <v>-211000</v>
      </c>
      <c r="J91" s="1">
        <v>0</v>
      </c>
      <c r="Q91" s="46" t="s">
        <v>130</v>
      </c>
      <c r="R91" s="47">
        <f>R89/R90</f>
        <v>0.22908555547393422</v>
      </c>
    </row>
    <row r="92" spans="1:18" ht="20" x14ac:dyDescent="0.25">
      <c r="A92" s="5" t="s">
        <v>77</v>
      </c>
      <c r="B92" s="1" t="s">
        <v>91</v>
      </c>
      <c r="C92" s="1" t="s">
        <v>91</v>
      </c>
      <c r="D92" s="1" t="s">
        <v>91</v>
      </c>
      <c r="E92" s="1" t="s">
        <v>91</v>
      </c>
      <c r="F92" s="1">
        <v>6989000</v>
      </c>
      <c r="G92" s="1">
        <v>7275000</v>
      </c>
      <c r="H92" s="1">
        <v>13088000</v>
      </c>
      <c r="I92" s="1">
        <v>12427000</v>
      </c>
      <c r="J92" s="1">
        <v>0</v>
      </c>
      <c r="Q92" s="46" t="s">
        <v>131</v>
      </c>
      <c r="R92" s="47">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68" t="s">
        <v>132</v>
      </c>
      <c r="R93" s="68"/>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44" t="s">
        <v>133</v>
      </c>
      <c r="R94" s="48">
        <f>[1]Treasuries!$C$8</f>
        <v>3.8539999999999998E-2</v>
      </c>
    </row>
    <row r="95" spans="1:18" ht="20" x14ac:dyDescent="0.25">
      <c r="A95" s="5" t="s">
        <v>80</v>
      </c>
      <c r="B95" s="1" t="s">
        <v>91</v>
      </c>
      <c r="C95" s="1" t="s">
        <v>91</v>
      </c>
      <c r="D95" s="1" t="s">
        <v>91</v>
      </c>
      <c r="E95" s="1" t="s">
        <v>91</v>
      </c>
      <c r="F95" s="1" t="s">
        <v>91</v>
      </c>
      <c r="G95" s="1" t="s">
        <v>91</v>
      </c>
      <c r="H95" s="1" t="s">
        <v>91</v>
      </c>
      <c r="I95" s="1" t="s">
        <v>91</v>
      </c>
      <c r="J95" s="1" t="s">
        <v>91</v>
      </c>
      <c r="Q95" s="44" t="s">
        <v>134</v>
      </c>
      <c r="R95" s="49" cm="1">
        <f t="array" ref="R95">_FV(A1,"Beta")</f>
        <v>1.3201000000000001</v>
      </c>
    </row>
    <row r="96" spans="1:18" ht="20" x14ac:dyDescent="0.25">
      <c r="A96" s="5" t="s">
        <v>81</v>
      </c>
      <c r="B96" s="1">
        <v>96717000</v>
      </c>
      <c r="C96" s="1">
        <v>39981000</v>
      </c>
      <c r="D96" s="1">
        <v>172000</v>
      </c>
      <c r="E96" s="1">
        <v>984000</v>
      </c>
      <c r="F96" s="1">
        <v>36153000</v>
      </c>
      <c r="G96" s="1">
        <v>37613000</v>
      </c>
      <c r="H96" s="1">
        <v>12832000</v>
      </c>
      <c r="I96" s="1">
        <v>105285000</v>
      </c>
      <c r="J96" s="1">
        <v>9926000</v>
      </c>
      <c r="Q96" s="44" t="s">
        <v>135</v>
      </c>
      <c r="R96" s="48">
        <v>8.4000000000000005E-2</v>
      </c>
    </row>
    <row r="97" spans="1:18" ht="20" x14ac:dyDescent="0.25">
      <c r="A97" s="5" t="s">
        <v>82</v>
      </c>
      <c r="B97" s="1" t="s">
        <v>91</v>
      </c>
      <c r="C97" s="1" t="s">
        <v>91</v>
      </c>
      <c r="D97" s="1" t="s">
        <v>91</v>
      </c>
      <c r="E97" s="1" t="s">
        <v>91</v>
      </c>
      <c r="F97" s="1">
        <v>-31035000</v>
      </c>
      <c r="G97" s="1">
        <v>-18323000</v>
      </c>
      <c r="H97" s="1" t="s">
        <v>91</v>
      </c>
      <c r="I97" s="1" t="s">
        <v>91</v>
      </c>
      <c r="J97" s="1" t="s">
        <v>91</v>
      </c>
      <c r="Q97" s="46" t="s">
        <v>136</v>
      </c>
      <c r="R97" s="47">
        <f>(R94)+((R95)*(R96-R94))</f>
        <v>9.855174600000001E-2</v>
      </c>
    </row>
    <row r="98" spans="1:18" ht="19" x14ac:dyDescent="0.25">
      <c r="A98" s="5" t="s">
        <v>83</v>
      </c>
      <c r="B98" s="1" t="s">
        <v>91</v>
      </c>
      <c r="C98" s="1" t="s">
        <v>91</v>
      </c>
      <c r="D98" s="1" t="s">
        <v>91</v>
      </c>
      <c r="E98" s="1" t="s">
        <v>91</v>
      </c>
      <c r="F98" s="1" t="s">
        <v>91</v>
      </c>
      <c r="G98" s="1" t="s">
        <v>91</v>
      </c>
      <c r="H98" s="1" t="s">
        <v>91</v>
      </c>
      <c r="I98" s="1" t="s">
        <v>91</v>
      </c>
      <c r="J98" s="1">
        <v>0</v>
      </c>
      <c r="Q98" s="68" t="s">
        <v>137</v>
      </c>
      <c r="R98" s="68"/>
    </row>
    <row r="99" spans="1:18" ht="20" x14ac:dyDescent="0.25">
      <c r="A99" s="5" t="s">
        <v>84</v>
      </c>
      <c r="B99" s="1" t="s">
        <v>91</v>
      </c>
      <c r="C99" s="1" t="s">
        <v>91</v>
      </c>
      <c r="D99" s="1" t="s">
        <v>91</v>
      </c>
      <c r="E99" s="1" t="s">
        <v>91</v>
      </c>
      <c r="F99" s="1" t="s">
        <v>91</v>
      </c>
      <c r="G99" s="1">
        <v>-9932000</v>
      </c>
      <c r="H99" s="1">
        <v>-9439000</v>
      </c>
      <c r="I99" s="1">
        <v>-9045000</v>
      </c>
      <c r="J99" s="1">
        <v>-22144000</v>
      </c>
      <c r="Q99" s="44" t="s">
        <v>138</v>
      </c>
      <c r="R99" s="4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46" t="s">
        <v>139</v>
      </c>
      <c r="R100" s="47">
        <f>R99/R103</f>
        <v>4.1581372737539988E-3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44" t="s">
        <v>140</v>
      </c>
      <c r="R101" s="50" cm="1">
        <f t="array" ref="R101">_FV(A1,"Market cap",TRUE)</f>
        <v>48634420000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46" t="s">
        <v>141</v>
      </c>
      <c r="R102" s="47">
        <f>R101/R103</f>
        <v>0.99584186272624597</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46" t="s">
        <v>142</v>
      </c>
      <c r="R103" s="51">
        <f>R99+R101</f>
        <v>48837493000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68" t="s">
        <v>143</v>
      </c>
      <c r="R104" s="68"/>
    </row>
    <row r="105" spans="1:18" ht="21" thickTop="1" x14ac:dyDescent="0.25">
      <c r="A105" s="14" t="s">
        <v>160</v>
      </c>
      <c r="B105" s="1">
        <f t="shared" ref="B105:I105" si="20">(B22*(1-$R$91))+B77+B88+B81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(J22*(1-$R$91))+J77+J88+J81</f>
        <v>1903445558.4153628</v>
      </c>
      <c r="K105" s="28">
        <f>J105*(1+$R$106)</f>
        <v>2312525824.0892701</v>
      </c>
      <c r="L105" s="28">
        <f t="shared" ref="L105:O105" si="21">K105*(1+$R$106)</f>
        <v>2809523846.6036472</v>
      </c>
      <c r="M105" s="28">
        <f t="shared" si="21"/>
        <v>3413334529.0287428</v>
      </c>
      <c r="N105" s="28">
        <f t="shared" si="21"/>
        <v>4146913585.070385</v>
      </c>
      <c r="O105" s="28">
        <f t="shared" si="21"/>
        <v>5038150270.8832512</v>
      </c>
      <c r="P105" s="29" t="s">
        <v>163</v>
      </c>
      <c r="Q105" s="52" t="s">
        <v>106</v>
      </c>
      <c r="R105" s="53">
        <f>(R100*R92)+(R102*R97)</f>
        <v>9.8330793847202308E-2</v>
      </c>
    </row>
    <row r="106" spans="1:18" ht="19" x14ac:dyDescent="0.25">
      <c r="A106" s="14" t="s">
        <v>161</v>
      </c>
      <c r="B106" s="1"/>
      <c r="C106" s="15">
        <f t="shared" ref="C106:J106" si="22">(C107/B107)-1</f>
        <v>-6.7140415452153546E-2</v>
      </c>
      <c r="D106" s="15">
        <f t="shared" si="22"/>
        <v>0.34593571341685925</v>
      </c>
      <c r="E106" s="15">
        <f t="shared" si="22"/>
        <v>7.0854444500929148E-2</v>
      </c>
      <c r="F106" s="15">
        <f t="shared" si="22"/>
        <v>0.95268035636106618</v>
      </c>
      <c r="G106" s="15">
        <f t="shared" si="22"/>
        <v>0.37629087372871051</v>
      </c>
      <c r="H106" s="15">
        <f t="shared" si="22"/>
        <v>0.95242945970135184</v>
      </c>
      <c r="I106" s="15">
        <f t="shared" si="22"/>
        <v>0.77511045433297654</v>
      </c>
      <c r="J106" s="15">
        <f t="shared" si="22"/>
        <v>0.13206478649903719</v>
      </c>
      <c r="K106" s="39">
        <v>1000000000</v>
      </c>
      <c r="L106" s="39">
        <v>1100000000</v>
      </c>
      <c r="M106" s="39">
        <v>1504000000</v>
      </c>
      <c r="N106" s="39">
        <v>1948000000</v>
      </c>
      <c r="O106" s="39">
        <v>2310000000</v>
      </c>
      <c r="P106" s="29" t="s">
        <v>164</v>
      </c>
      <c r="Q106" s="54" t="s">
        <v>144</v>
      </c>
      <c r="R106" s="55">
        <f>(SUM(K4:O4)/5)</f>
        <v>0.21491566378944435</v>
      </c>
    </row>
    <row r="107" spans="1:18" ht="19" x14ac:dyDescent="0.25">
      <c r="A107" s="41" t="s">
        <v>162</v>
      </c>
      <c r="B107" s="1">
        <v>141003000</v>
      </c>
      <c r="C107" s="1">
        <v>131536000</v>
      </c>
      <c r="D107" s="1">
        <v>177039000</v>
      </c>
      <c r="E107" s="1">
        <v>189583000</v>
      </c>
      <c r="F107" s="1">
        <v>370195000</v>
      </c>
      <c r="G107" s="1">
        <v>509496000</v>
      </c>
      <c r="H107" s="1">
        <v>994755000</v>
      </c>
      <c r="I107" s="1">
        <v>1765800000</v>
      </c>
      <c r="J107" s="1">
        <v>1999000000</v>
      </c>
      <c r="K107" s="29"/>
      <c r="L107" s="29"/>
      <c r="M107" s="29"/>
      <c r="N107" s="29"/>
      <c r="O107" s="40">
        <f>O106*(1+R107)/(R108-R107)</f>
        <v>32288618134.062836</v>
      </c>
      <c r="P107" s="30" t="s">
        <v>145</v>
      </c>
      <c r="Q107" s="56" t="s">
        <v>146</v>
      </c>
      <c r="R107" s="57">
        <v>2.5000000000000001E-2</v>
      </c>
    </row>
    <row r="108" spans="1:18" ht="19" x14ac:dyDescent="0.25">
      <c r="K108" s="40">
        <f t="shared" ref="K108:N108" si="23">K107+K106</f>
        <v>1000000000</v>
      </c>
      <c r="L108" s="40">
        <f t="shared" si="23"/>
        <v>1100000000</v>
      </c>
      <c r="M108" s="40">
        <f t="shared" si="23"/>
        <v>1504000000</v>
      </c>
      <c r="N108" s="40">
        <f t="shared" si="23"/>
        <v>1948000000</v>
      </c>
      <c r="O108" s="40">
        <f>O107+O106</f>
        <v>34598618134.062836</v>
      </c>
      <c r="P108" s="30" t="s">
        <v>142</v>
      </c>
      <c r="Q108" s="58" t="s">
        <v>147</v>
      </c>
      <c r="R108" s="55">
        <f>R105</f>
        <v>9.8330793847202308E-2</v>
      </c>
    </row>
    <row r="109" spans="1:18" ht="19" x14ac:dyDescent="0.25">
      <c r="K109" s="65" t="s">
        <v>148</v>
      </c>
      <c r="L109" s="65"/>
    </row>
    <row r="110" spans="1:18" ht="20" x14ac:dyDescent="0.25">
      <c r="K110" s="59" t="s">
        <v>149</v>
      </c>
      <c r="L110" s="50">
        <f>NPV(R108,K108,L108,M108,N108,O108)</f>
        <v>25942845404.317596</v>
      </c>
    </row>
    <row r="111" spans="1:18" ht="20" x14ac:dyDescent="0.25">
      <c r="K111" s="59" t="s">
        <v>150</v>
      </c>
      <c r="L111" s="50">
        <f>J40</f>
        <v>5964798000</v>
      </c>
    </row>
    <row r="112" spans="1:18" ht="20" x14ac:dyDescent="0.25">
      <c r="K112" s="59" t="s">
        <v>138</v>
      </c>
      <c r="L112" s="50">
        <f>R99</f>
        <v>203073000</v>
      </c>
    </row>
    <row r="113" spans="11:12" ht="20" x14ac:dyDescent="0.25">
      <c r="K113" s="59" t="s">
        <v>151</v>
      </c>
      <c r="L113" s="50">
        <f>L110+L111-L112</f>
        <v>31704570404.317596</v>
      </c>
    </row>
    <row r="114" spans="11:12" ht="20" x14ac:dyDescent="0.25">
      <c r="K114" s="59" t="s">
        <v>152</v>
      </c>
      <c r="L114" s="59">
        <f>J34*(1+(5*P16))</f>
        <v>31444645.352630943</v>
      </c>
    </row>
    <row r="115" spans="11:12" ht="20" x14ac:dyDescent="0.25">
      <c r="K115" s="60" t="s">
        <v>153</v>
      </c>
      <c r="L115" s="61">
        <f>L113/L114</f>
        <v>1008.2661149067437</v>
      </c>
    </row>
    <row r="116" spans="11:12" ht="20" x14ac:dyDescent="0.25">
      <c r="K116" s="59" t="s">
        <v>154</v>
      </c>
      <c r="L116" s="62" cm="1">
        <f t="array" ref="L116">_FV(A1,"Price")</f>
        <v>1585.8</v>
      </c>
    </row>
    <row r="117" spans="11:12" ht="20" x14ac:dyDescent="0.25">
      <c r="K117" s="60" t="s">
        <v>155</v>
      </c>
      <c r="L117" s="63">
        <f>L115/L116-1</f>
        <v>-0.36419087217382784</v>
      </c>
    </row>
    <row r="118" spans="11:12" ht="20" x14ac:dyDescent="0.25">
      <c r="K118" s="60" t="s">
        <v>156</v>
      </c>
      <c r="L118" s="64" t="str">
        <f>IF(L115&gt;L116,"BUY","SELL")</f>
        <v>SELL</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6"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2023-03-14T03:06:16Z</dcterms:created>
  <dcterms:modified xsi:type="dcterms:W3CDTF">2023-07-01T08:28:45Z</dcterms:modified>
</cp:coreProperties>
</file>