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EF41AF3E-8048-7A46-912E-7D481543720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4" i="1" l="1"/>
  <c r="I108" i="1"/>
  <c r="J108" i="1"/>
  <c r="K108" i="1"/>
  <c r="L108" i="1"/>
  <c r="J105" i="1"/>
  <c r="K105" i="1" s="1"/>
  <c r="L105" i="1" s="1"/>
  <c r="M105" i="1" s="1"/>
  <c r="I105" i="1"/>
  <c r="B105" i="1"/>
  <c r="C105" i="1"/>
  <c r="D105" i="1"/>
  <c r="E105" i="1"/>
  <c r="F105" i="1"/>
  <c r="G105" i="1"/>
  <c r="H105" i="1"/>
  <c r="J30" i="1"/>
  <c r="K30" i="1"/>
  <c r="L30" i="1"/>
  <c r="M30" i="1"/>
  <c r="I30" i="1"/>
  <c r="I29" i="1"/>
  <c r="J29" i="1"/>
  <c r="K29" i="1"/>
  <c r="L29" i="1"/>
  <c r="M29" i="1"/>
  <c r="J21" i="1"/>
  <c r="K21" i="1"/>
  <c r="L21" i="1"/>
  <c r="M21" i="1"/>
  <c r="I21" i="1"/>
  <c r="I20" i="1"/>
  <c r="J20" i="1"/>
  <c r="K20" i="1"/>
  <c r="L20" i="1"/>
  <c r="M20" i="1"/>
  <c r="J116" i="1" a="1"/>
  <c r="J116" i="1" s="1"/>
  <c r="P101" i="1" a="1"/>
  <c r="P101" i="1" s="1"/>
  <c r="O19" i="1" s="1"/>
  <c r="P95" i="1" a="1"/>
  <c r="P95" i="1" s="1"/>
  <c r="J111" i="1"/>
  <c r="P90" i="1"/>
  <c r="P89" i="1"/>
  <c r="P91" i="1"/>
  <c r="P87" i="1"/>
  <c r="P86" i="1"/>
  <c r="P99" i="1"/>
  <c r="P85" i="1"/>
  <c r="P88" i="1"/>
  <c r="N19" i="1"/>
  <c r="N16" i="1"/>
  <c r="Q13" i="1"/>
  <c r="P13" i="1"/>
  <c r="O13" i="1"/>
  <c r="N13" i="1"/>
  <c r="Q10" i="1"/>
  <c r="P10" i="1"/>
  <c r="O10" i="1"/>
  <c r="N10" i="1"/>
  <c r="Q7" i="1"/>
  <c r="P7" i="1"/>
  <c r="O7" i="1"/>
  <c r="N7" i="1"/>
  <c r="P4" i="1"/>
  <c r="O4" i="1"/>
  <c r="N4" i="1"/>
  <c r="M4" i="1"/>
  <c r="L4" i="1"/>
  <c r="K4" i="1"/>
  <c r="J4" i="1"/>
  <c r="I4" i="1"/>
  <c r="G9" i="1"/>
  <c r="H9" i="1"/>
  <c r="G13" i="1"/>
  <c r="H13" i="1"/>
  <c r="G20" i="1"/>
  <c r="H20" i="1"/>
  <c r="G29" i="1"/>
  <c r="H29" i="1"/>
  <c r="G35" i="1"/>
  <c r="H35" i="1"/>
  <c r="G89" i="1"/>
  <c r="H89" i="1"/>
  <c r="G80" i="1"/>
  <c r="H80" i="1"/>
  <c r="G106" i="1"/>
  <c r="H106" i="1"/>
  <c r="Q4" i="1" s="1"/>
  <c r="F106" i="1"/>
  <c r="E106" i="1"/>
  <c r="D106" i="1"/>
  <c r="C106" i="1"/>
  <c r="F89" i="1"/>
  <c r="E89" i="1"/>
  <c r="D89" i="1"/>
  <c r="C89" i="1"/>
  <c r="B89" i="1"/>
  <c r="F80" i="1"/>
  <c r="E80" i="1"/>
  <c r="D80" i="1"/>
  <c r="C80" i="1"/>
  <c r="B80" i="1"/>
  <c r="F35" i="1"/>
  <c r="E35" i="1"/>
  <c r="D35" i="1"/>
  <c r="C35" i="1"/>
  <c r="F29" i="1"/>
  <c r="E29" i="1"/>
  <c r="D29" i="1"/>
  <c r="C29" i="1"/>
  <c r="F20" i="1"/>
  <c r="E20" i="1"/>
  <c r="D20" i="1"/>
  <c r="C20" i="1"/>
  <c r="F13" i="1"/>
  <c r="E13" i="1"/>
  <c r="D13" i="1"/>
  <c r="C13" i="1"/>
  <c r="B13" i="1"/>
  <c r="F9" i="1"/>
  <c r="E9" i="1"/>
  <c r="D9" i="1"/>
  <c r="C9" i="1"/>
  <c r="B9" i="1"/>
  <c r="H4" i="1"/>
  <c r="G4" i="1"/>
  <c r="F4" i="1"/>
  <c r="E4" i="1"/>
  <c r="D4" i="1"/>
  <c r="C4" i="1"/>
  <c r="P92" i="1"/>
  <c r="J112" i="1"/>
  <c r="P22" i="1" l="1"/>
  <c r="Q22" i="1"/>
  <c r="Q19" i="1"/>
  <c r="P19" i="1"/>
  <c r="P106" i="1"/>
  <c r="Q16" i="1"/>
  <c r="P16" i="1"/>
  <c r="O16" i="1"/>
  <c r="P103" i="1"/>
  <c r="P100" i="1" s="1"/>
  <c r="P102" i="1" l="1"/>
  <c r="P94" i="1" l="1"/>
  <c r="P97" i="1" s="1"/>
  <c r="P105" i="1" s="1"/>
  <c r="P108" i="1" s="1"/>
  <c r="M107" i="1" l="1"/>
  <c r="M108" i="1" s="1"/>
  <c r="J110" i="1" s="1"/>
  <c r="J113" i="1" s="1"/>
  <c r="J115" i="1" s="1"/>
  <c r="J118" i="1" l="1"/>
  <c r="J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<sst xmlns="http://schemas.openxmlformats.org/spreadsheetml/2006/main" count="332" uniqueCount="167">
  <si>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</si>
  <si>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</si>
  <si>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</si>
  <si>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</si>
  <si>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</si>
  <si>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</si>
  <si>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</si>
  <si>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</si>
  <si>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</si>
  <si>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</si>
  <si>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</si>
  <si>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</si>
  <si>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</si>
  <si>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</si>
  <si>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</si>
  <si>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</si>
  <si>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</si>
  <si>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</si>
  <si>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</si>
  <si>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</si>
  <si>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</si>
  <si>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</si>
  <si>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</si>
  <si>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</si>
  <si>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</si>
  <si>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</si>
  <si>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</si>
  <si>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</si>
  <si>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</si>
  <si>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</si>
  <si>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</si>
  <si>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</si>
  <si>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</si>
  <si>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</si>
  <si>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</si>
  <si>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</si>
  <si>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</si>
  <si>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</si>
  <si>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</si>
  <si>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</si>
  <si>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</si>
  <si>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</si>
  <si>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</si>
  <si>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</si>
  <si>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</si>
  <si>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</si>
  <si>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</si>
  <si>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</si>
  <si>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</si>
  <si>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</si>
  <si>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</si>
  <si>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</si>
  <si>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</si>
  <si>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</si>
  <si>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</si>
  <si>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</si>
  <si>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</si>
  <si>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</si>
  <si>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</si>
  <si>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</si>
  <si>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</si>
  <si>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</si>
  <si>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</si>
  <si>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</si>
  <si>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</si>
  <si>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</si>
  <si>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</si>
  <si>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</si>
  <si>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</si>
  <si>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</si>
  <si>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</si>
  <si>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</si>
  <si>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</si>
  <si>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</si>
  <si>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</si>
  <si>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</si>
  <si>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</si>
  <si>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</si>
  <si>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</si>
  <si>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</si>
  <si>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</si>
  <si>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</si>
  <si>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</si>
  <si>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</si>
  <si>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</si>
  <si>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</si>
  <si>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</si>
  <si>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</si>
  <si>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</si>
  <si>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</si>
  <si>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</si>
  <si>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</si>
  <si>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</si>
  <si>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</si>
  <si>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</si>
  <si>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</si>
  <si>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</si>
  <si>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</si>
  <si>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</si>
  <si>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</si>
  <si>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</si>
  <si>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</si>
  <si>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</si>
  <si>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</si>
  <si>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</si>
  <si>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</si>
  <si>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</si>
  <si>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</si>
  <si>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</si>
  <si>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</si>
  <si>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</si>
  <si>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</si>
  <si>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</si>
  <si>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</si>
  <si>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</si>
  <si>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</si>
  <si>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</si>
  <si>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</si>
  <si>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</si>
  <si>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</si>
  <si>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</si>
  <si>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</si>
  <si>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</si>
  <si>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</si>
  <si>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</si>
  <si>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</si>
  <si>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</si>
  <si>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</si>
  <si>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</si>
  <si>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</si>
  <si>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</si>
  <si>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</si>
  <si>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</si>
  <si>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</si>
  <si>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</si>
  <si>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</si>
  <si>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</si>
  <si>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</si>
  <si>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</si>
  <si>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</si>
  <si>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</si>
  <si>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</si>
  <si>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</si>
  <si>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</si>
  <si>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</si>
  <si>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</si>
  <si>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</si>
  <si>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</si>
  <si>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</si>
  <si>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</si>
  <si>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</si>
  <si>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</si>
  <si>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Intrinsic Value</t>
  </si>
  <si>
    <t>Current Price</t>
  </si>
  <si>
    <t>Upside/Downside</t>
  </si>
  <si>
    <t>Buy/Sell</t>
  </si>
  <si>
    <t>Forward P/S</t>
  </si>
  <si>
    <t>Forward P/E</t>
  </si>
  <si>
    <t>Forward P/FCF</t>
  </si>
  <si>
    <t>Unlevered FCF</t>
  </si>
  <si>
    <t>Levered FCF Growth YoY</t>
  </si>
  <si>
    <t>Levered FCF</t>
  </si>
  <si>
    <t>Unlevered FCF Proj</t>
  </si>
  <si>
    <t>Unlevered FCF Forecast</t>
  </si>
  <si>
    <t>Shares (5% dilution)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</si>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</sst>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&quot;$&quot;#,##0"/>
    <numFmt numFmtId="169" formatCode="0.0"/>
    <numFmt numFmtId="170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4" borderId="0" xfId="0" applyNumberFormat="1" applyFont="1" applyFill="1"/>
    <xf numFmtId="0" fontId="0" fillId="4" borderId="0" xfId="0" applyFill="1"/>
    <xf numFmtId="0" fontId="0" fillId="4" borderId="0" xfId="0" applyFill="1" applyAlignment="1">
      <alignment horizontal="left"/>
    </xf>
    <xf numFmtId="164" fontId="13" fillId="0" borderId="2" xfId="0" applyNumberFormat="1" applyFont="1" applyBorder="1"/>
    <xf numFmtId="165" fontId="10" fillId="0" borderId="0" xfId="0" applyNumberFormat="1" applyFont="1"/>
    <xf numFmtId="164" fontId="1" fillId="7" borderId="0" xfId="0" applyNumberFormat="1" applyFont="1" applyFill="1"/>
    <xf numFmtId="164" fontId="10" fillId="7" borderId="0" xfId="0" applyNumberFormat="1" applyFont="1" applyFill="1"/>
    <xf numFmtId="169" fontId="11" fillId="0" borderId="9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69" fontId="11" fillId="0" borderId="6" xfId="0" applyNumberFormat="1" applyFont="1" applyBorder="1" applyAlignment="1">
      <alignment horizontal="center"/>
    </xf>
    <xf numFmtId="164" fontId="13" fillId="0" borderId="3" xfId="0" applyNumberFormat="1" applyFont="1" applyBorder="1"/>
    <xf numFmtId="0" fontId="1" fillId="0" borderId="0" xfId="0" applyFont="1" applyAlignment="1">
      <alignment indent="1"/>
    </xf>
    <xf numFmtId="17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39" fontId="11" fillId="4" borderId="0" xfId="0" applyNumberFormat="1" applyFont="1" applyFill="1"/>
    <xf numFmtId="164" fontId="1" fillId="4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4" borderId="0" xfId="0" applyNumberFormat="1" applyFont="1" applyFill="1" applyAlignment="1">
      <alignment wrapText="1"/>
    </xf>
    <xf numFmtId="10" fontId="1" fillId="4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4" borderId="0" xfId="0" applyFont="1" applyFill="1"/>
    <xf numFmtId="164" fontId="1" fillId="4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8" fontId="12" fillId="5" borderId="0" xfId="0" applyNumberFormat="1" applyFont="1" applyFill="1"/>
    <xf numFmtId="167" fontId="1" fillId="4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Cloudflare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466227347611208E-2"/>
          <c:y val="0.11681497217118651"/>
          <c:w val="0.86381548599670499"/>
          <c:h val="0.75879796947211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1'!$B$3:$H$3</c:f>
              <c:numCache>
                <c:formatCode>#,###,,;\(#,###,,\);\ \-\ \-</c:formatCode>
                <c:ptCount val="7"/>
                <c:pt idx="0">
                  <c:v>84791000</c:v>
                </c:pt>
                <c:pt idx="1">
                  <c:v>134915000</c:v>
                </c:pt>
                <c:pt idx="2">
                  <c:v>192674000</c:v>
                </c:pt>
                <c:pt idx="3">
                  <c:v>287022000</c:v>
                </c:pt>
                <c:pt idx="4">
                  <c:v>431059000</c:v>
                </c:pt>
                <c:pt idx="5">
                  <c:v>656426000</c:v>
                </c:pt>
                <c:pt idx="6">
                  <c:v>975241000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A-7A4E-B20D-D080C6E941A3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1'!$B$19:$H$19</c:f>
              <c:numCache>
                <c:formatCode>#,###,,;\(#,###,,\);\ \-\ \-</c:formatCode>
                <c:ptCount val="7"/>
                <c:pt idx="0">
                  <c:v>-8256000</c:v>
                </c:pt>
                <c:pt idx="1">
                  <c:v>3321000</c:v>
                </c:pt>
                <c:pt idx="2">
                  <c:v>-66190000</c:v>
                </c:pt>
                <c:pt idx="3">
                  <c:v>-74122000</c:v>
                </c:pt>
                <c:pt idx="4">
                  <c:v>-50622000</c:v>
                </c:pt>
                <c:pt idx="5">
                  <c:v>-132135000</c:v>
                </c:pt>
                <c:pt idx="6">
                  <c:v>-83677000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DA-7A4E-B20D-D080C6E941A3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1'!$B$107:$H$107</c:f>
              <c:numCache>
                <c:formatCode>#,###,,;\(#,###,,\);\ \-\ \-</c:formatCode>
                <c:ptCount val="7"/>
                <c:pt idx="0">
                  <c:v>-31876000</c:v>
                </c:pt>
                <c:pt idx="1">
                  <c:v>-19808000</c:v>
                </c:pt>
                <c:pt idx="2">
                  <c:v>-78120000</c:v>
                </c:pt>
                <c:pt idx="3">
                  <c:v>-96196000</c:v>
                </c:pt>
                <c:pt idx="4">
                  <c:v>-92091000</c:v>
                </c:pt>
                <c:pt idx="5">
                  <c:v>-43090000</c:v>
                </c:pt>
                <c:pt idx="6">
                  <c:v>-39769000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DA-7A4E-B20D-D080C6E94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82187472"/>
        <c:axId val="1881511568"/>
      </c:barChart>
      <c:catAx>
        <c:axId val="188218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511568"/>
        <c:crosses val="autoZero"/>
        <c:auto val="1"/>
        <c:lblAlgn val="ctr"/>
        <c:lblOffset val="100"/>
        <c:noMultiLvlLbl val="0"/>
      </c:catAx>
      <c:valAx>
        <c:axId val="188151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18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51598801385409"/>
          <c:y val="0.91726039740555954"/>
          <c:w val="0.3020552348584104"/>
          <c:h val="4.6468701085824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15874</xdr:colOff>
      <xdr:row>108</xdr:row>
      <xdr:rowOff>33338</xdr:rowOff>
    </xdr:from>
    <xdr:to>
      <xdr:col>16</xdr:col>
      <xdr:colOff>31749</xdr:colOff>
      <xdr:row>128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167DC-86BA-35D1-ED10-EBF9E2AE4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or Scoring"/>
      <sheetName val="Factor Investing"/>
      <sheetName val="Concentrated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Treasuries"/>
      <sheetName val="All Stars"/>
      <sheetName val="ROIC Port"/>
      <sheetName val="To Be Modeled"/>
      <sheetName val="My Holdings"/>
      <sheetName val="Stable Growth"/>
      <sheetName val="High Growth"/>
      <sheetName val="Compounders"/>
      <sheetName val="Small Cap Gems"/>
      <sheetName val="Private Compan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8">
          <cell r="C8">
            <v>3.8539999999999998E-2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https://www.bing.com/financeapi/forcetrigger?t=brh6oc&amp;q=XNYS%3aNET&amp;form=skydnc</v>
    <v>Learn more on Bing</v>
  </rv>
  <rv s="1">
    <v>0</v>
    <v>CLOUDFLARE, INC. (XNYS:NET)</v>
    <v>2</v>
    <v>3</v>
    <v>Finance</v>
    <v>4</v>
    <v>en-US</v>
    <v>brh6oc</v>
    <v>268435456</v>
    <v>1</v>
    <v>Powered by Refinitiv</v>
    <v>80.989999999999995</v>
    <v>37.369999999999997</v>
    <v>0.94420000000000004</v>
    <v>1.29</v>
    <v>2.0131E-2</v>
    <v>0</v>
    <v>0</v>
    <v>USD</v>
    <v>Cloudflare, Inc. is a global cloud services provider that delivers a range of services to businesses of all sizes and in all geographies. The Company's network serves as a scalable, unified control plane to deliver security, performance, and reliability across on-premise, hybrid, cloud, and software-as-a-service (SaaS) applications. Its integrated suite of products consists of solutions for an organization's external-facing infrastructure, such as Websites, applications, and application programming interfaces (APIs) to deliver security, performance, and reliability; solutions to serve an organization's internal resources, such as Internal networks and devices; developer-based solutions, and consumer offerings. Its security products include Web Application Firewall, Bot Management, Distributed Denial of Service (DDoS), API Gateway, SSL/TLS Encryption, and Secure Origin Connection. Its performance products include Content Delivery, Intelligent Routing, Content Optimization, and Others.</v>
    <v>3217</v>
    <v>New York Stock Exchange</v>
    <v>XNYS</v>
    <v>XNYS</v>
    <v>101 Townsend St, SAN FRANCISCO, CA, 94107-1934 US</v>
    <v>66.52</v>
    <v>Software &amp; IT Services</v>
    <v>Stock</v>
    <v>45107.997636921093</v>
    <v>0</v>
    <v>64.52</v>
    <v>21697074366</v>
    <v>CLOUDFLARE, INC.</v>
    <v>CLOUDFLARE, INC.</v>
    <v>65.319999999999993</v>
    <v>64.08</v>
    <v>65.37</v>
    <v>65.37</v>
    <v>331911800</v>
    <v>NET</v>
    <v>CLOUDFLARE, INC. (XNYS:NET)</v>
    <v>2756064</v>
    <v>5095036</v>
    <v>2009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477333/000147733320000010/0001477333-20-000010-index.htm" TargetMode="External"/><Relationship Id="rId13" Type="http://schemas.openxmlformats.org/officeDocument/2006/relationships/hyperlink" Target="https://www.sec.gov/Archives/edgar/data/1477333/000147733322000008/0001477333-22-000008-index.ht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77333/000147733322000008/0001477333-22-000008-index.htm" TargetMode="External"/><Relationship Id="rId17" Type="http://schemas.openxmlformats.org/officeDocument/2006/relationships/hyperlink" Target="https://finbox.com/NYSE:NET/explorer/fcf_unlev_proj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finbox.com/NYSE:NET/explorer/revenue_proj" TargetMode="External"/><Relationship Id="rId1" Type="http://schemas.openxmlformats.org/officeDocument/2006/relationships/hyperlink" Target="https://roic.ai/company/NET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477333/000147733321000009/0001477333-21-000009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10" Type="http://schemas.openxmlformats.org/officeDocument/2006/relationships/hyperlink" Target="https://www.sec.gov/Archives/edgar/data/1477333/000147733321000009/0001477333-21-000009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477333/000147733320000010/0001477333-20-000010-index.htm" TargetMode="External"/><Relationship Id="rId14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80" zoomScaleNormal="80" workbookViewId="0">
      <pane xSplit="1" ySplit="1" topLeftCell="F84" activePane="bottomRight" state="frozen"/>
      <selection pane="topRight"/>
      <selection pane="bottomLeft"/>
      <selection pane="bottomRight" activeCell="K101" sqref="K101"/>
    </sheetView>
  </sheetViews>
  <sheetFormatPr baseColWidth="10" defaultRowHeight="16" x14ac:dyDescent="0.2"/>
  <cols>
    <col min="1" max="1" width="50" customWidth="1"/>
    <col min="2" max="8" width="15" customWidth="1"/>
    <col min="9" max="17" width="21" customWidth="1"/>
  </cols>
  <sheetData>
    <row r="1" spans="1:38" ht="22" thickBot="1" x14ac:dyDescent="0.3">
      <c r="A1" s="3" t="e" vm="1">
        <v>#VALUE!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23">
        <v>2023</v>
      </c>
      <c r="J1" s="23">
        <v>2024</v>
      </c>
      <c r="K1" s="23">
        <v>2025</v>
      </c>
      <c r="L1" s="23">
        <v>2026</v>
      </c>
      <c r="M1" s="23">
        <v>2027</v>
      </c>
    </row>
    <row r="2" spans="1:38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/>
      <c r="M2" s="9"/>
      <c r="N2" s="9"/>
      <c r="O2" s="9"/>
      <c r="P2" s="9"/>
      <c r="Q2" s="9"/>
    </row>
    <row r="3" spans="1:38" ht="40" x14ac:dyDescent="0.25">
      <c r="A3" s="5" t="s">
        <v>1</v>
      </c>
      <c r="B3" s="1">
        <v>84791000</v>
      </c>
      <c r="C3" s="1">
        <v>134915000</v>
      </c>
      <c r="D3" s="1">
        <v>192674000</v>
      </c>
      <c r="E3" s="1">
        <v>287022000</v>
      </c>
      <c r="F3" s="1">
        <v>431059000</v>
      </c>
      <c r="G3" s="1">
        <v>656426000</v>
      </c>
      <c r="H3" s="1">
        <v>975241000</v>
      </c>
      <c r="I3" s="24">
        <v>1282000000</v>
      </c>
      <c r="J3" s="24">
        <v>1668000000</v>
      </c>
      <c r="K3" s="24">
        <v>2151000000</v>
      </c>
      <c r="L3" s="24">
        <v>2988000000</v>
      </c>
      <c r="M3" s="24">
        <v>3825000000</v>
      </c>
      <c r="N3" s="19" t="s">
        <v>107</v>
      </c>
      <c r="O3" s="20" t="s">
        <v>108</v>
      </c>
      <c r="P3" s="20" t="s">
        <v>109</v>
      </c>
      <c r="Q3" s="20" t="s">
        <v>110</v>
      </c>
    </row>
    <row r="4" spans="1:38" ht="19" x14ac:dyDescent="0.25">
      <c r="A4" s="14" t="s">
        <v>93</v>
      </c>
      <c r="B4" s="1"/>
      <c r="C4" s="15">
        <f>(C3/B3)-1</f>
        <v>0.59114764538689246</v>
      </c>
      <c r="D4" s="15">
        <f>(D3/C3)-1</f>
        <v>0.428113997702257</v>
      </c>
      <c r="E4" s="15">
        <f>(E3/D3)-1</f>
        <v>0.48967686351038542</v>
      </c>
      <c r="F4" s="15">
        <f t="shared" ref="F4:M4" si="0">(F3/E3)-1</f>
        <v>0.50183261213426156</v>
      </c>
      <c r="G4" s="16">
        <f t="shared" si="0"/>
        <v>0.52282170190159594</v>
      </c>
      <c r="H4" s="16">
        <f t="shared" si="0"/>
        <v>0.48568307775743191</v>
      </c>
      <c r="I4" s="16">
        <f t="shared" si="0"/>
        <v>0.31454686585162017</v>
      </c>
      <c r="J4" s="16">
        <f t="shared" si="0"/>
        <v>0.30109204368174725</v>
      </c>
      <c r="K4" s="16">
        <f t="shared" si="0"/>
        <v>0.28956834532374098</v>
      </c>
      <c r="L4" s="16">
        <f t="shared" si="0"/>
        <v>0.38912133891213396</v>
      </c>
      <c r="M4" s="16">
        <f t="shared" si="0"/>
        <v>0.28012048192771077</v>
      </c>
      <c r="N4" s="17">
        <f>(H4+G4+F4)/3</f>
        <v>0.50344579726442984</v>
      </c>
      <c r="O4" s="17">
        <f>(H20+G20+F20)/3</f>
        <v>0.30881762917093536</v>
      </c>
      <c r="P4" s="17">
        <f>(H29+G29+F29)/3</f>
        <v>0.35051427507247584</v>
      </c>
      <c r="Q4" s="17">
        <f>(H106+G106+F106)/3</f>
        <v>-0.21727926461391614</v>
      </c>
      <c r="Y4" s="16"/>
      <c r="Z4" s="16"/>
      <c r="AA4" s="16"/>
      <c r="AB4" s="16"/>
      <c r="AC4" s="16"/>
      <c r="AD4" s="16"/>
      <c r="AE4" s="16"/>
      <c r="AF4" s="16"/>
      <c r="AI4" s="18"/>
      <c r="AJ4" s="18"/>
      <c r="AK4" s="18"/>
      <c r="AL4" s="18"/>
    </row>
    <row r="5" spans="1:38" ht="19" x14ac:dyDescent="0.25">
      <c r="A5" s="5" t="s">
        <v>2</v>
      </c>
      <c r="B5" s="1">
        <v>23962000</v>
      </c>
      <c r="C5" s="1">
        <v>28788000</v>
      </c>
      <c r="D5" s="1">
        <v>43537000</v>
      </c>
      <c r="E5" s="1">
        <v>63423000</v>
      </c>
      <c r="F5" s="1">
        <v>101055000</v>
      </c>
      <c r="G5" s="1">
        <v>147134000</v>
      </c>
      <c r="H5" s="1">
        <v>232610000</v>
      </c>
    </row>
    <row r="6" spans="1:38" ht="20" x14ac:dyDescent="0.25">
      <c r="A6" s="6" t="s">
        <v>3</v>
      </c>
      <c r="B6" s="10">
        <v>60829000</v>
      </c>
      <c r="C6" s="10">
        <v>106127000</v>
      </c>
      <c r="D6" s="10">
        <v>149137000</v>
      </c>
      <c r="E6" s="10">
        <v>223599000</v>
      </c>
      <c r="F6" s="10">
        <v>330004000</v>
      </c>
      <c r="G6" s="10">
        <v>509292000</v>
      </c>
      <c r="H6" s="10">
        <v>742631000</v>
      </c>
      <c r="N6" s="19" t="s">
        <v>111</v>
      </c>
      <c r="O6" s="20" t="s">
        <v>112</v>
      </c>
      <c r="P6" s="20" t="s">
        <v>113</v>
      </c>
      <c r="Q6" s="20" t="s">
        <v>114</v>
      </c>
    </row>
    <row r="7" spans="1:38" ht="19" x14ac:dyDescent="0.25">
      <c r="A7" s="5" t="s">
        <v>4</v>
      </c>
      <c r="B7" s="2">
        <v>0.71740000000000004</v>
      </c>
      <c r="C7" s="2">
        <v>0.78659999999999997</v>
      </c>
      <c r="D7" s="2">
        <v>0.77400000000000002</v>
      </c>
      <c r="E7" s="2">
        <v>0.77900000000000003</v>
      </c>
      <c r="F7" s="2">
        <v>0.76559999999999995</v>
      </c>
      <c r="G7" s="2">
        <v>0.77590000000000003</v>
      </c>
      <c r="H7" s="2">
        <v>0.76149999999999995</v>
      </c>
      <c r="N7" s="17">
        <f>H7</f>
        <v>0.76149999999999995</v>
      </c>
      <c r="O7" s="21">
        <f>H21</f>
        <v>-8.5800000000000001E-2</v>
      </c>
      <c r="P7" s="21">
        <f>H30</f>
        <v>-0.1983</v>
      </c>
      <c r="Q7" s="21">
        <f>H107/H3</f>
        <v>-4.0778638305813637E-2</v>
      </c>
    </row>
    <row r="8" spans="1:38" ht="19" x14ac:dyDescent="0.25">
      <c r="A8" s="5" t="s">
        <v>5</v>
      </c>
      <c r="B8" s="1">
        <v>23663000</v>
      </c>
      <c r="C8" s="1">
        <v>33650000</v>
      </c>
      <c r="D8" s="1">
        <v>54463000</v>
      </c>
      <c r="E8" s="1">
        <v>90669000</v>
      </c>
      <c r="F8" s="1">
        <v>127144000</v>
      </c>
      <c r="G8" s="1">
        <v>189408000</v>
      </c>
      <c r="H8" s="1">
        <v>298303000</v>
      </c>
    </row>
    <row r="9" spans="1:38" ht="19" customHeight="1" x14ac:dyDescent="0.25">
      <c r="A9" s="14" t="s">
        <v>94</v>
      </c>
      <c r="B9" s="15">
        <f>B8/B3</f>
        <v>0.27907443006922905</v>
      </c>
      <c r="C9" s="15">
        <f t="shared" ref="C9:H9" si="1">C8/C3</f>
        <v>0.24941629915131749</v>
      </c>
      <c r="D9" s="15">
        <f t="shared" si="1"/>
        <v>0.28266917176162842</v>
      </c>
      <c r="E9" s="15">
        <f t="shared" si="1"/>
        <v>0.3158956456299517</v>
      </c>
      <c r="F9" s="15">
        <f t="shared" si="1"/>
        <v>0.2949573028286151</v>
      </c>
      <c r="G9" s="15">
        <f t="shared" si="1"/>
        <v>0.28854432944459846</v>
      </c>
      <c r="H9" s="15">
        <f t="shared" si="1"/>
        <v>0.30587618855236809</v>
      </c>
      <c r="I9" s="15"/>
      <c r="J9" s="15"/>
      <c r="N9" s="19" t="s">
        <v>95</v>
      </c>
      <c r="O9" s="20" t="s">
        <v>96</v>
      </c>
      <c r="P9" s="20" t="s">
        <v>97</v>
      </c>
      <c r="Q9" s="20" t="s">
        <v>98</v>
      </c>
    </row>
    <row r="10" spans="1:38" ht="19" x14ac:dyDescent="0.25">
      <c r="A10" s="5" t="s">
        <v>6</v>
      </c>
      <c r="B10" s="1">
        <v>14073000</v>
      </c>
      <c r="C10" s="1">
        <v>20308000</v>
      </c>
      <c r="D10" s="1">
        <v>85179000</v>
      </c>
      <c r="E10" s="1">
        <v>81578000</v>
      </c>
      <c r="F10" s="1">
        <v>91753000</v>
      </c>
      <c r="G10" s="1">
        <v>119503000</v>
      </c>
      <c r="H10" s="1">
        <v>179769000</v>
      </c>
      <c r="N10" s="17">
        <f>H9</f>
        <v>0.30587618855236809</v>
      </c>
      <c r="O10" s="21">
        <f>H13</f>
        <v>0.66191946400940893</v>
      </c>
      <c r="P10" s="21">
        <f>H80</f>
        <v>0.20792501545771763</v>
      </c>
      <c r="Q10" s="21">
        <f>H89</f>
        <v>0.14725180750194056</v>
      </c>
    </row>
    <row r="11" spans="1:38" ht="19" x14ac:dyDescent="0.25">
      <c r="A11" s="5" t="s">
        <v>7</v>
      </c>
      <c r="B11" s="1">
        <v>40122000</v>
      </c>
      <c r="C11" s="1">
        <v>61899000</v>
      </c>
      <c r="D11" s="1">
        <v>94394000</v>
      </c>
      <c r="E11" s="1">
        <v>159298000</v>
      </c>
      <c r="F11" s="1">
        <v>217875000</v>
      </c>
      <c r="G11" s="1">
        <v>328065000</v>
      </c>
      <c r="H11" s="1">
        <v>465762000</v>
      </c>
    </row>
    <row r="12" spans="1:38" ht="20" x14ac:dyDescent="0.25">
      <c r="A12" s="5" t="s">
        <v>8</v>
      </c>
      <c r="B12" s="1">
        <v>54195000</v>
      </c>
      <c r="C12" s="1">
        <v>82207000</v>
      </c>
      <c r="D12" s="1">
        <v>179573000</v>
      </c>
      <c r="E12" s="1">
        <v>240876000</v>
      </c>
      <c r="F12" s="1">
        <v>309628000</v>
      </c>
      <c r="G12" s="1">
        <v>447568000</v>
      </c>
      <c r="H12" s="1">
        <v>645531000</v>
      </c>
      <c r="N12" s="19" t="s">
        <v>115</v>
      </c>
      <c r="O12" s="20" t="s">
        <v>116</v>
      </c>
      <c r="P12" s="20" t="s">
        <v>117</v>
      </c>
      <c r="Q12" s="20" t="s">
        <v>118</v>
      </c>
    </row>
    <row r="13" spans="1:38" ht="19" x14ac:dyDescent="0.25">
      <c r="A13" s="14" t="s">
        <v>99</v>
      </c>
      <c r="B13" s="15">
        <f>B12/B3</f>
        <v>0.63915981648995768</v>
      </c>
      <c r="C13" s="15">
        <f t="shared" ref="C13:H13" si="2">C12/C3</f>
        <v>0.60932438943038214</v>
      </c>
      <c r="D13" s="15">
        <f t="shared" si="2"/>
        <v>0.93200431817474072</v>
      </c>
      <c r="E13" s="15">
        <f t="shared" si="2"/>
        <v>0.83922486778017014</v>
      </c>
      <c r="F13" s="15">
        <f t="shared" si="2"/>
        <v>0.71829610331764326</v>
      </c>
      <c r="G13" s="15">
        <f t="shared" si="2"/>
        <v>0.68182552184099965</v>
      </c>
      <c r="H13" s="15">
        <f t="shared" si="2"/>
        <v>0.66191946400940893</v>
      </c>
      <c r="I13" s="15"/>
      <c r="J13" s="15"/>
      <c r="N13" s="17">
        <f>H28/H72</f>
        <v>-0.30992332891000124</v>
      </c>
      <c r="O13" s="21">
        <f>H28/H54</f>
        <v>-7.4724835658763755E-2</v>
      </c>
      <c r="P13" s="21">
        <f>H22/(H72+H56+H61)</f>
        <v>-9.1412072846884795E-2</v>
      </c>
      <c r="Q13" s="35">
        <f>H67/H72</f>
        <v>3.1475277419851144</v>
      </c>
    </row>
    <row r="14" spans="1:38" ht="19" x14ac:dyDescent="0.25">
      <c r="A14" s="5" t="s">
        <v>9</v>
      </c>
      <c r="B14" s="1" t="s">
        <v>91</v>
      </c>
      <c r="C14" s="1" t="s">
        <v>91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</row>
    <row r="15" spans="1:38" ht="20" x14ac:dyDescent="0.25">
      <c r="A15" s="5" t="s">
        <v>10</v>
      </c>
      <c r="B15" s="1">
        <v>77858000</v>
      </c>
      <c r="C15" s="1">
        <v>115857000</v>
      </c>
      <c r="D15" s="1">
        <v>234036000</v>
      </c>
      <c r="E15" s="1">
        <v>331545000</v>
      </c>
      <c r="F15" s="1">
        <v>436772000</v>
      </c>
      <c r="G15" s="1">
        <v>636976000</v>
      </c>
      <c r="H15" s="1">
        <v>943834000</v>
      </c>
      <c r="N15" s="19" t="s">
        <v>119</v>
      </c>
      <c r="O15" s="20" t="s">
        <v>120</v>
      </c>
      <c r="P15" s="20" t="s">
        <v>121</v>
      </c>
      <c r="Q15" s="20" t="s">
        <v>122</v>
      </c>
    </row>
    <row r="16" spans="1:38" ht="19" x14ac:dyDescent="0.25">
      <c r="A16" s="5" t="s">
        <v>11</v>
      </c>
      <c r="B16" s="1">
        <v>101820000</v>
      </c>
      <c r="C16" s="1">
        <v>144645000</v>
      </c>
      <c r="D16" s="1">
        <v>277573000</v>
      </c>
      <c r="E16" s="1">
        <v>394968000</v>
      </c>
      <c r="F16" s="1">
        <v>537827000</v>
      </c>
      <c r="G16" s="1">
        <v>784110000</v>
      </c>
      <c r="H16" s="1">
        <v>1176444000</v>
      </c>
      <c r="N16" s="25">
        <f>(H35+G35+F35+E35+D35)/5</f>
        <v>0.13947445605504918</v>
      </c>
      <c r="O16" s="34">
        <f>P101/H3</f>
        <v>22.247910379075531</v>
      </c>
      <c r="P16" s="34">
        <f>P101/H28</f>
        <v>-112.19858396636691</v>
      </c>
      <c r="Q16" s="36">
        <f>P101/H107</f>
        <v>-545.5775696145239</v>
      </c>
    </row>
    <row r="17" spans="1:17" ht="19" x14ac:dyDescent="0.25">
      <c r="A17" s="5" t="s">
        <v>12</v>
      </c>
      <c r="B17" s="1">
        <v>654000</v>
      </c>
      <c r="C17" s="1">
        <v>862000</v>
      </c>
      <c r="D17" s="1">
        <v>992000</v>
      </c>
      <c r="E17" s="1">
        <v>1112000</v>
      </c>
      <c r="F17" s="1">
        <v>24964000</v>
      </c>
      <c r="G17" s="1">
        <v>49234000</v>
      </c>
      <c r="H17" s="1">
        <v>4984000</v>
      </c>
    </row>
    <row r="18" spans="1:17" ht="20" x14ac:dyDescent="0.25">
      <c r="A18" s="5" t="s">
        <v>13</v>
      </c>
      <c r="B18" s="1">
        <v>8355000</v>
      </c>
      <c r="C18" s="1">
        <v>12174000</v>
      </c>
      <c r="D18" s="1">
        <v>18905000</v>
      </c>
      <c r="E18" s="1">
        <v>29479000</v>
      </c>
      <c r="F18" s="1">
        <v>49387000</v>
      </c>
      <c r="G18" s="1">
        <v>66607000</v>
      </c>
      <c r="H18" s="1">
        <v>102072000</v>
      </c>
      <c r="N18" s="19" t="s">
        <v>123</v>
      </c>
      <c r="O18" s="19" t="s">
        <v>156</v>
      </c>
      <c r="P18" s="20" t="s">
        <v>157</v>
      </c>
      <c r="Q18" s="20" t="s">
        <v>158</v>
      </c>
    </row>
    <row r="19" spans="1:17" ht="19" x14ac:dyDescent="0.25">
      <c r="A19" s="6" t="s">
        <v>14</v>
      </c>
      <c r="B19" s="10">
        <v>-8256000</v>
      </c>
      <c r="C19" s="10">
        <v>3321000</v>
      </c>
      <c r="D19" s="10">
        <v>-66190000</v>
      </c>
      <c r="E19" s="10">
        <v>-74122000</v>
      </c>
      <c r="F19" s="10">
        <v>-50622000</v>
      </c>
      <c r="G19" s="10">
        <v>-132135000</v>
      </c>
      <c r="H19" s="10">
        <v>-83677000</v>
      </c>
      <c r="I19" s="30">
        <v>204300000</v>
      </c>
      <c r="J19" s="30">
        <v>265600000</v>
      </c>
      <c r="K19" s="30">
        <v>379000000</v>
      </c>
      <c r="L19" s="30">
        <v>384000000</v>
      </c>
      <c r="M19" s="30">
        <v>528000000</v>
      </c>
      <c r="N19" s="26">
        <f>H40-H56-H61</f>
        <v>72846000</v>
      </c>
      <c r="O19" s="37">
        <f>P101/I3</f>
        <v>16.924394981279253</v>
      </c>
      <c r="P19" s="37">
        <f>P101/I28</f>
        <v>184.81323991482111</v>
      </c>
      <c r="Q19" s="36">
        <f>P101/I105</f>
        <v>-86.742948042553493</v>
      </c>
    </row>
    <row r="20" spans="1:17" ht="19" customHeight="1" x14ac:dyDescent="0.25">
      <c r="A20" s="14" t="s">
        <v>100</v>
      </c>
      <c r="B20" s="1"/>
      <c r="C20" s="15">
        <f>(C19/B19)-1</f>
        <v>-1.4022529069767442</v>
      </c>
      <c r="D20" s="15">
        <f>(D19/C19)-1</f>
        <v>-20.930743751881963</v>
      </c>
      <c r="E20" s="15">
        <f>(E19/D19)-1</f>
        <v>0.11983683335851336</v>
      </c>
      <c r="F20" s="15">
        <f t="shared" ref="F20" si="3">(F19/E19)-1</f>
        <v>-0.31704487196783682</v>
      </c>
      <c r="G20" s="15">
        <f t="shared" ref="G20" si="4">(G19/F19)-1</f>
        <v>1.6102287542965508</v>
      </c>
      <c r="H20" s="15">
        <f t="shared" ref="H20" si="5">(H19/G19)-1</f>
        <v>-0.36673099481590798</v>
      </c>
      <c r="I20" s="16">
        <f t="shared" ref="I20" si="6">(I19/H19)-1</f>
        <v>-3.4415311256378693</v>
      </c>
      <c r="J20" s="16">
        <f t="shared" ref="J20" si="7">(J19/I19)-1</f>
        <v>0.30004894762604017</v>
      </c>
      <c r="K20" s="16">
        <f t="shared" ref="K20" si="8">(K19/J19)-1</f>
        <v>0.4269578313253013</v>
      </c>
      <c r="L20" s="16">
        <f t="shared" ref="L20" si="9">(L19/K19)-1</f>
        <v>1.3192612137203241E-2</v>
      </c>
      <c r="M20" s="16">
        <f t="shared" ref="M20" si="10">(M19/L19)-1</f>
        <v>0.375</v>
      </c>
    </row>
    <row r="21" spans="1:17" ht="20" x14ac:dyDescent="0.25">
      <c r="A21" s="5" t="s">
        <v>15</v>
      </c>
      <c r="B21" s="2">
        <v>-9.74E-2</v>
      </c>
      <c r="C21" s="2">
        <v>2.46E-2</v>
      </c>
      <c r="D21" s="2">
        <v>-0.34350000000000003</v>
      </c>
      <c r="E21" s="2">
        <v>-0.25819999999999999</v>
      </c>
      <c r="F21" s="2">
        <v>-0.1174</v>
      </c>
      <c r="G21" s="2">
        <v>-0.20130000000000001</v>
      </c>
      <c r="H21" s="2">
        <v>-8.5800000000000001E-2</v>
      </c>
      <c r="I21" s="31">
        <f>I19/I3</f>
        <v>0.15936037441497661</v>
      </c>
      <c r="J21" s="31">
        <f t="shared" ref="J21:M21" si="11">J19/J3</f>
        <v>0.15923261390887289</v>
      </c>
      <c r="K21" s="31">
        <f t="shared" si="11"/>
        <v>0.17619711761971177</v>
      </c>
      <c r="L21" s="31">
        <f t="shared" si="11"/>
        <v>0.12851405622489959</v>
      </c>
      <c r="M21" s="31">
        <f t="shared" si="11"/>
        <v>0.1380392156862745</v>
      </c>
      <c r="P21" s="19" t="s">
        <v>165</v>
      </c>
      <c r="Q21" s="20" t="s">
        <v>166</v>
      </c>
    </row>
    <row r="22" spans="1:17" ht="19" x14ac:dyDescent="0.25">
      <c r="A22" s="6" t="s">
        <v>16</v>
      </c>
      <c r="B22" s="10">
        <v>-17029000</v>
      </c>
      <c r="C22" s="10">
        <v>-9730000</v>
      </c>
      <c r="D22" s="10">
        <v>-84899000</v>
      </c>
      <c r="E22" s="10">
        <v>-107946000</v>
      </c>
      <c r="F22" s="10">
        <v>-106768000</v>
      </c>
      <c r="G22" s="10">
        <v>-127684000</v>
      </c>
      <c r="H22" s="10">
        <v>-201203000</v>
      </c>
      <c r="P22" s="40">
        <f>(-1*H98)/P101</f>
        <v>0</v>
      </c>
      <c r="Q22" s="41">
        <f>H107/P101</f>
        <v>-1.8329199287033498E-3</v>
      </c>
    </row>
    <row r="23" spans="1:17" ht="19" x14ac:dyDescent="0.25">
      <c r="A23" s="5" t="s">
        <v>17</v>
      </c>
      <c r="B23" s="2">
        <v>-0.20080000000000001</v>
      </c>
      <c r="C23" s="2">
        <v>-7.2099999999999997E-2</v>
      </c>
      <c r="D23" s="2">
        <v>-0.44059999999999999</v>
      </c>
      <c r="E23" s="2">
        <v>-0.37609999999999999</v>
      </c>
      <c r="F23" s="2">
        <v>-0.2477</v>
      </c>
      <c r="G23" s="2">
        <v>-0.19450000000000001</v>
      </c>
      <c r="H23" s="2">
        <v>-0.20630000000000001</v>
      </c>
    </row>
    <row r="24" spans="1:17" ht="19" x14ac:dyDescent="0.25">
      <c r="A24" s="5" t="s">
        <v>18</v>
      </c>
      <c r="B24" s="1">
        <v>-236000</v>
      </c>
      <c r="C24" s="1">
        <v>15000</v>
      </c>
      <c r="D24" s="1">
        <v>-1188000</v>
      </c>
      <c r="E24" s="1">
        <v>3233000</v>
      </c>
      <c r="F24" s="1">
        <v>-18205000</v>
      </c>
      <c r="G24" s="1">
        <v>-120292000</v>
      </c>
      <c r="H24" s="1">
        <v>10470000</v>
      </c>
    </row>
    <row r="25" spans="1:17" ht="19" x14ac:dyDescent="0.25">
      <c r="A25" s="6" t="s">
        <v>19</v>
      </c>
      <c r="B25" s="10">
        <v>-17265000</v>
      </c>
      <c r="C25" s="10">
        <v>-9715000</v>
      </c>
      <c r="D25" s="10">
        <v>-86087000</v>
      </c>
      <c r="E25" s="10">
        <v>-104713000</v>
      </c>
      <c r="F25" s="10">
        <v>-124973000</v>
      </c>
      <c r="G25" s="10">
        <v>-247976000</v>
      </c>
      <c r="H25" s="10">
        <v>-190733000</v>
      </c>
    </row>
    <row r="26" spans="1:17" ht="19" x14ac:dyDescent="0.25">
      <c r="A26" s="5" t="s">
        <v>20</v>
      </c>
      <c r="B26" s="2">
        <v>-0.2036</v>
      </c>
      <c r="C26" s="2">
        <v>-7.1999999999999995E-2</v>
      </c>
      <c r="D26" s="2">
        <v>-0.44679999999999997</v>
      </c>
      <c r="E26" s="2">
        <v>-0.36480000000000001</v>
      </c>
      <c r="F26" s="2">
        <v>-0.28989999999999999</v>
      </c>
      <c r="G26" s="2">
        <v>-0.37780000000000002</v>
      </c>
      <c r="H26" s="2">
        <v>-0.1956</v>
      </c>
    </row>
    <row r="27" spans="1:17" ht="19" x14ac:dyDescent="0.25">
      <c r="A27" s="5" t="s">
        <v>21</v>
      </c>
      <c r="B27" s="1">
        <v>69000</v>
      </c>
      <c r="C27" s="1">
        <v>1033000</v>
      </c>
      <c r="D27" s="1">
        <v>1077000</v>
      </c>
      <c r="E27" s="1">
        <v>1115000</v>
      </c>
      <c r="F27" s="1">
        <v>-5603000</v>
      </c>
      <c r="G27" s="1">
        <v>12333000</v>
      </c>
      <c r="H27" s="1">
        <v>2648000</v>
      </c>
    </row>
    <row r="28" spans="1:17" ht="20" thickBot="1" x14ac:dyDescent="0.3">
      <c r="A28" s="7" t="s">
        <v>22</v>
      </c>
      <c r="B28" s="11">
        <v>-17334000</v>
      </c>
      <c r="C28" s="11">
        <v>-10748000</v>
      </c>
      <c r="D28" s="11">
        <v>-87164000</v>
      </c>
      <c r="E28" s="11">
        <v>-105828000</v>
      </c>
      <c r="F28" s="11">
        <v>-119370000</v>
      </c>
      <c r="G28" s="11">
        <v>-260309000</v>
      </c>
      <c r="H28" s="11">
        <v>-193381000</v>
      </c>
      <c r="I28" s="38">
        <v>117400000</v>
      </c>
      <c r="J28" s="38">
        <v>148100000</v>
      </c>
      <c r="K28" s="38">
        <v>224500000</v>
      </c>
      <c r="L28" s="38">
        <v>406600000</v>
      </c>
      <c r="M28" s="38">
        <v>637400000</v>
      </c>
    </row>
    <row r="29" spans="1:17" ht="20" customHeight="1" thickTop="1" x14ac:dyDescent="0.25">
      <c r="A29" s="14" t="s">
        <v>101</v>
      </c>
      <c r="B29" s="1"/>
      <c r="C29" s="15">
        <f>(C28/B28)-1</f>
        <v>-0.37994692511826467</v>
      </c>
      <c r="D29" s="15">
        <f>(D28/C28)-1</f>
        <v>7.1097878675102351</v>
      </c>
      <c r="E29" s="15">
        <f>(E28/D28)-1</f>
        <v>0.21412509751732367</v>
      </c>
      <c r="F29" s="15">
        <f t="shared" ref="F29" si="12">(F28/E28)-1</f>
        <v>0.12796235400839095</v>
      </c>
      <c r="G29" s="15">
        <f t="shared" ref="G29" si="13">(G28/F28)-1</f>
        <v>1.1806902906928038</v>
      </c>
      <c r="H29" s="15">
        <f t="shared" ref="H29" si="14">(H28/G28)-1</f>
        <v>-0.25710981948376732</v>
      </c>
      <c r="I29" s="16">
        <f t="shared" ref="I29" si="15">(I28/H28)-1</f>
        <v>-1.6070916998050482</v>
      </c>
      <c r="J29" s="16">
        <f t="shared" ref="J29" si="16">(J28/I28)-1</f>
        <v>0.26149914821124365</v>
      </c>
      <c r="K29" s="16">
        <f t="shared" ref="K29" si="17">(K28/J28)-1</f>
        <v>0.51586765698852122</v>
      </c>
      <c r="L29" s="16">
        <f t="shared" ref="L29" si="18">(L28/K28)-1</f>
        <v>0.81113585746102457</v>
      </c>
      <c r="M29" s="16">
        <f t="shared" ref="M29" si="19">(M28/L28)-1</f>
        <v>0.56763403836694537</v>
      </c>
    </row>
    <row r="30" spans="1:17" ht="19" x14ac:dyDescent="0.25">
      <c r="A30" s="5" t="s">
        <v>23</v>
      </c>
      <c r="B30" s="2">
        <v>-0.2044</v>
      </c>
      <c r="C30" s="2">
        <v>-7.9699999999999993E-2</v>
      </c>
      <c r="D30" s="2">
        <v>-0.45240000000000002</v>
      </c>
      <c r="E30" s="2">
        <v>-0.36870000000000003</v>
      </c>
      <c r="F30" s="2">
        <v>-0.27689999999999998</v>
      </c>
      <c r="G30" s="2">
        <v>-0.39660000000000001</v>
      </c>
      <c r="H30" s="2">
        <v>-0.1983</v>
      </c>
      <c r="I30" s="31">
        <f>I28/I3</f>
        <v>9.1575663026521065E-2</v>
      </c>
      <c r="J30" s="31">
        <f t="shared" ref="J30:M30" si="20">J28/J3</f>
        <v>8.8788968824940043E-2</v>
      </c>
      <c r="K30" s="31">
        <f t="shared" si="20"/>
        <v>0.10437006043700604</v>
      </c>
      <c r="L30" s="31">
        <f t="shared" si="20"/>
        <v>0.1360776439089692</v>
      </c>
      <c r="M30" s="31">
        <f t="shared" si="20"/>
        <v>0.16664052287581699</v>
      </c>
    </row>
    <row r="31" spans="1:17" ht="19" x14ac:dyDescent="0.25">
      <c r="A31" s="5" t="s">
        <v>24</v>
      </c>
      <c r="B31" s="12">
        <v>-7.0000000000000007E-2</v>
      </c>
      <c r="C31" s="12">
        <v>-0.04</v>
      </c>
      <c r="D31" s="12">
        <v>-0.37</v>
      </c>
      <c r="E31" s="12">
        <v>-0.72</v>
      </c>
      <c r="F31" s="12">
        <v>-0.4</v>
      </c>
      <c r="G31" s="12">
        <v>-0.83</v>
      </c>
      <c r="H31" s="12">
        <v>-0.59</v>
      </c>
    </row>
    <row r="32" spans="1:17" ht="19" x14ac:dyDescent="0.25">
      <c r="A32" s="5" t="s">
        <v>25</v>
      </c>
      <c r="B32" s="12">
        <v>-7.0000000000000007E-2</v>
      </c>
      <c r="C32" s="12">
        <v>-0.04</v>
      </c>
      <c r="D32" s="12">
        <v>-0.37</v>
      </c>
      <c r="E32" s="12">
        <v>-0.72</v>
      </c>
      <c r="F32" s="12">
        <v>-0.4</v>
      </c>
      <c r="G32" s="12">
        <v>-0.83</v>
      </c>
      <c r="H32" s="12">
        <v>-0.59</v>
      </c>
    </row>
    <row r="33" spans="1:8" ht="19" x14ac:dyDescent="0.25">
      <c r="A33" s="5" t="s">
        <v>26</v>
      </c>
      <c r="B33" s="1">
        <v>237322000</v>
      </c>
      <c r="C33" s="1">
        <v>251085000</v>
      </c>
      <c r="D33" s="1">
        <v>237322000</v>
      </c>
      <c r="E33" s="1">
        <v>146306000</v>
      </c>
      <c r="F33" s="1">
        <v>299774000</v>
      </c>
      <c r="G33" s="1">
        <v>314543000</v>
      </c>
      <c r="H33" s="1">
        <v>326332000</v>
      </c>
    </row>
    <row r="34" spans="1:8" ht="19" x14ac:dyDescent="0.25">
      <c r="A34" s="5" t="s">
        <v>27</v>
      </c>
      <c r="B34" s="1">
        <v>237322000</v>
      </c>
      <c r="C34" s="1">
        <v>251085000</v>
      </c>
      <c r="D34" s="1">
        <v>237322000</v>
      </c>
      <c r="E34" s="1">
        <v>146306000</v>
      </c>
      <c r="F34" s="1">
        <v>299774000</v>
      </c>
      <c r="G34" s="1">
        <v>314543000</v>
      </c>
      <c r="H34" s="1">
        <v>326332000</v>
      </c>
    </row>
    <row r="35" spans="1:8" ht="20" customHeight="1" x14ac:dyDescent="0.25">
      <c r="A35" s="14" t="s">
        <v>102</v>
      </c>
      <c r="B35" s="1"/>
      <c r="C35" s="22">
        <f>(C34-B34)/B34</f>
        <v>5.7992937865010405E-2</v>
      </c>
      <c r="D35" s="22">
        <f t="shared" ref="D35:F35" si="21">(D34-C34)/C34</f>
        <v>-5.48141067765896E-2</v>
      </c>
      <c r="E35" s="22">
        <f t="shared" si="21"/>
        <v>-0.38351269583098069</v>
      </c>
      <c r="F35" s="22">
        <f t="shared" si="21"/>
        <v>1.0489521960821839</v>
      </c>
      <c r="G35" s="22">
        <f t="shared" ref="G35" si="22">(G34-F34)/F34</f>
        <v>4.9267114559634922E-2</v>
      </c>
      <c r="H35" s="22">
        <f t="shared" ref="H35" si="23">(H34-G34)/G34</f>
        <v>3.7479772240997258E-2</v>
      </c>
    </row>
    <row r="36" spans="1: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</row>
    <row r="37" spans="1: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</row>
    <row r="38" spans="1:8" ht="19" x14ac:dyDescent="0.25">
      <c r="A38" s="5" t="s">
        <v>30</v>
      </c>
      <c r="B38" s="1" t="s">
        <v>91</v>
      </c>
      <c r="C38" s="1">
        <v>24444000</v>
      </c>
      <c r="D38" s="1">
        <v>25055000</v>
      </c>
      <c r="E38" s="1">
        <v>138976000</v>
      </c>
      <c r="F38" s="1">
        <v>108895000</v>
      </c>
      <c r="G38" s="1">
        <v>313777000</v>
      </c>
      <c r="H38" s="1">
        <v>204178000</v>
      </c>
    </row>
    <row r="39" spans="1:8" ht="19" x14ac:dyDescent="0.25">
      <c r="A39" s="5" t="s">
        <v>31</v>
      </c>
      <c r="B39" s="1" t="s">
        <v>91</v>
      </c>
      <c r="C39" s="1">
        <v>48963000</v>
      </c>
      <c r="D39" s="1">
        <v>135602000</v>
      </c>
      <c r="E39" s="1">
        <v>497972000</v>
      </c>
      <c r="F39" s="1">
        <v>923201000</v>
      </c>
      <c r="G39" s="1">
        <v>1508066000</v>
      </c>
      <c r="H39" s="1">
        <v>1445759000</v>
      </c>
    </row>
    <row r="40" spans="1:8" ht="19" x14ac:dyDescent="0.25">
      <c r="A40" s="5" t="s">
        <v>32</v>
      </c>
      <c r="B40" s="1" t="s">
        <v>91</v>
      </c>
      <c r="C40" s="1">
        <v>73407000</v>
      </c>
      <c r="D40" s="1">
        <v>160657000</v>
      </c>
      <c r="E40" s="1">
        <v>636948000</v>
      </c>
      <c r="F40" s="1">
        <v>1032096000</v>
      </c>
      <c r="G40" s="1">
        <v>1821843000</v>
      </c>
      <c r="H40" s="1">
        <v>1649937000</v>
      </c>
    </row>
    <row r="41" spans="1:8" ht="19" x14ac:dyDescent="0.25">
      <c r="A41" s="5" t="s">
        <v>33</v>
      </c>
      <c r="B41" s="1" t="s">
        <v>91</v>
      </c>
      <c r="C41" s="1">
        <v>15186000</v>
      </c>
      <c r="D41" s="1">
        <v>26707000</v>
      </c>
      <c r="E41" s="1">
        <v>35930000</v>
      </c>
      <c r="F41" s="1">
        <v>67037000</v>
      </c>
      <c r="G41" s="1">
        <v>101622000</v>
      </c>
      <c r="H41" s="1">
        <v>156836000</v>
      </c>
    </row>
    <row r="42" spans="1: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 t="s">
        <v>91</v>
      </c>
      <c r="F42" s="1" t="s">
        <v>91</v>
      </c>
      <c r="G42" s="1" t="s">
        <v>91</v>
      </c>
      <c r="H42" s="1" t="s">
        <v>91</v>
      </c>
    </row>
    <row r="43" spans="1:8" ht="19" x14ac:dyDescent="0.25">
      <c r="A43" s="5" t="s">
        <v>35</v>
      </c>
      <c r="B43" s="1" t="s">
        <v>91</v>
      </c>
      <c r="C43" s="1">
        <v>3431000</v>
      </c>
      <c r="D43" s="1">
        <v>9373000</v>
      </c>
      <c r="E43" s="1">
        <v>16994000</v>
      </c>
      <c r="F43" s="1">
        <v>30821000</v>
      </c>
      <c r="G43" s="1">
        <v>29954000</v>
      </c>
      <c r="H43" s="1">
        <v>81111000</v>
      </c>
    </row>
    <row r="44" spans="1:8" ht="19" x14ac:dyDescent="0.25">
      <c r="A44" s="6" t="s">
        <v>36</v>
      </c>
      <c r="B44" s="10" t="s">
        <v>91</v>
      </c>
      <c r="C44" s="10">
        <v>92024000</v>
      </c>
      <c r="D44" s="10">
        <v>196737000</v>
      </c>
      <c r="E44" s="10">
        <v>689872000</v>
      </c>
      <c r="F44" s="10">
        <v>1129954000</v>
      </c>
      <c r="G44" s="10">
        <v>1953419000</v>
      </c>
      <c r="H44" s="10">
        <v>1887884000</v>
      </c>
    </row>
    <row r="45" spans="1:8" ht="19" x14ac:dyDescent="0.25">
      <c r="A45" s="5" t="s">
        <v>37</v>
      </c>
      <c r="B45" s="1" t="s">
        <v>91</v>
      </c>
      <c r="C45" s="1">
        <v>51423000</v>
      </c>
      <c r="D45" s="1">
        <v>73210000</v>
      </c>
      <c r="E45" s="1">
        <v>101466000</v>
      </c>
      <c r="F45" s="1">
        <v>166836000</v>
      </c>
      <c r="G45" s="1">
        <v>314050000</v>
      </c>
      <c r="H45" s="1">
        <v>418960000</v>
      </c>
    </row>
    <row r="46" spans="1:8" ht="19" x14ac:dyDescent="0.25">
      <c r="A46" s="5" t="s">
        <v>38</v>
      </c>
      <c r="B46" s="1" t="s">
        <v>91</v>
      </c>
      <c r="C46" s="1">
        <v>4083000</v>
      </c>
      <c r="D46" s="1">
        <v>4083000</v>
      </c>
      <c r="E46" s="1">
        <v>4083000</v>
      </c>
      <c r="F46" s="1">
        <v>17167000</v>
      </c>
      <c r="G46" s="1">
        <v>23530000</v>
      </c>
      <c r="H46" s="1">
        <v>148047000</v>
      </c>
    </row>
    <row r="47" spans="1:8" ht="19" x14ac:dyDescent="0.25">
      <c r="A47" s="5" t="s">
        <v>39</v>
      </c>
      <c r="B47" s="1" t="s">
        <v>91</v>
      </c>
      <c r="C47" s="1">
        <v>673000</v>
      </c>
      <c r="D47" s="1">
        <v>156000</v>
      </c>
      <c r="E47" s="1">
        <v>31000</v>
      </c>
      <c r="F47" s="1">
        <v>2800000</v>
      </c>
      <c r="G47" s="1">
        <v>1254000</v>
      </c>
      <c r="H47" s="1">
        <v>32483000</v>
      </c>
    </row>
    <row r="48" spans="1:8" ht="19" x14ac:dyDescent="0.25">
      <c r="A48" s="5" t="s">
        <v>40</v>
      </c>
      <c r="B48" s="1" t="s">
        <v>91</v>
      </c>
      <c r="C48" s="1">
        <v>4756000</v>
      </c>
      <c r="D48" s="1">
        <v>4239000</v>
      </c>
      <c r="E48" s="1">
        <v>4114000</v>
      </c>
      <c r="F48" s="1">
        <v>19967000</v>
      </c>
      <c r="G48" s="1">
        <v>24784000</v>
      </c>
      <c r="H48" s="1">
        <v>180530000</v>
      </c>
    </row>
    <row r="49" spans="1:8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</row>
    <row r="50" spans="1:8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</row>
    <row r="51" spans="1:8" ht="19" x14ac:dyDescent="0.25">
      <c r="A51" s="5" t="s">
        <v>43</v>
      </c>
      <c r="B51" s="1" t="s">
        <v>91</v>
      </c>
      <c r="C51" s="1">
        <v>14940000</v>
      </c>
      <c r="D51" s="1">
        <v>24194000</v>
      </c>
      <c r="E51" s="1">
        <v>35372000</v>
      </c>
      <c r="F51" s="1">
        <v>63894000</v>
      </c>
      <c r="G51" s="1">
        <v>79818000</v>
      </c>
      <c r="H51" s="1">
        <v>100534000</v>
      </c>
    </row>
    <row r="52" spans="1:8" ht="19" x14ac:dyDescent="0.25">
      <c r="A52" s="5" t="s">
        <v>44</v>
      </c>
      <c r="B52" s="1" t="s">
        <v>91</v>
      </c>
      <c r="C52" s="1">
        <v>71119000</v>
      </c>
      <c r="D52" s="1">
        <v>101643000</v>
      </c>
      <c r="E52" s="1">
        <v>140952000</v>
      </c>
      <c r="F52" s="1">
        <v>250697000</v>
      </c>
      <c r="G52" s="1">
        <v>418652000</v>
      </c>
      <c r="H52" s="1">
        <v>700024000</v>
      </c>
    </row>
    <row r="53" spans="1:8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</row>
    <row r="54" spans="1:8" ht="20" thickBot="1" x14ac:dyDescent="0.3">
      <c r="A54" s="7" t="s">
        <v>46</v>
      </c>
      <c r="B54" s="11" t="s">
        <v>91</v>
      </c>
      <c r="C54" s="11">
        <v>163143000</v>
      </c>
      <c r="D54" s="11">
        <v>298380000</v>
      </c>
      <c r="E54" s="11">
        <v>830824000</v>
      </c>
      <c r="F54" s="11">
        <v>1380651000</v>
      </c>
      <c r="G54" s="11">
        <v>2372071000</v>
      </c>
      <c r="H54" s="11">
        <v>2587908000</v>
      </c>
    </row>
    <row r="55" spans="1:8" ht="20" thickTop="1" x14ac:dyDescent="0.25">
      <c r="A55" s="5" t="s">
        <v>47</v>
      </c>
      <c r="B55" s="1" t="s">
        <v>91</v>
      </c>
      <c r="C55" s="1">
        <v>4725000</v>
      </c>
      <c r="D55" s="1">
        <v>14285000</v>
      </c>
      <c r="E55" s="1">
        <v>11463000</v>
      </c>
      <c r="F55" s="1">
        <v>14485000</v>
      </c>
      <c r="G55" s="1">
        <v>26086000</v>
      </c>
      <c r="H55" s="1">
        <v>35607000</v>
      </c>
    </row>
    <row r="56" spans="1:8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>
        <v>255000</v>
      </c>
      <c r="G56" s="1">
        <v>37292000</v>
      </c>
      <c r="H56" s="1">
        <v>33275000</v>
      </c>
    </row>
    <row r="57" spans="1:8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</row>
    <row r="58" spans="1:8" ht="19" x14ac:dyDescent="0.25">
      <c r="A58" s="5" t="s">
        <v>50</v>
      </c>
      <c r="B58" s="1" t="s">
        <v>91</v>
      </c>
      <c r="C58" s="1">
        <v>11927000</v>
      </c>
      <c r="D58" s="1">
        <v>16817000</v>
      </c>
      <c r="E58" s="1">
        <v>30843000</v>
      </c>
      <c r="F58" s="1">
        <v>54945000</v>
      </c>
      <c r="G58" s="1">
        <v>116546000</v>
      </c>
      <c r="H58" s="1">
        <v>218647000</v>
      </c>
    </row>
    <row r="59" spans="1:8" ht="19" x14ac:dyDescent="0.25">
      <c r="A59" s="5" t="s">
        <v>51</v>
      </c>
      <c r="B59" s="1" t="s">
        <v>91</v>
      </c>
      <c r="C59" s="1">
        <v>10511000</v>
      </c>
      <c r="D59" s="1">
        <v>30277000</v>
      </c>
      <c r="E59" s="1">
        <v>41577000</v>
      </c>
      <c r="F59" s="1">
        <v>71692000</v>
      </c>
      <c r="G59" s="1">
        <v>108641000</v>
      </c>
      <c r="H59" s="1">
        <v>110341000</v>
      </c>
    </row>
    <row r="60" spans="1:8" ht="19" x14ac:dyDescent="0.25">
      <c r="A60" s="6" t="s">
        <v>52</v>
      </c>
      <c r="B60" s="10" t="s">
        <v>91</v>
      </c>
      <c r="C60" s="10">
        <v>27163000</v>
      </c>
      <c r="D60" s="10">
        <v>61379000</v>
      </c>
      <c r="E60" s="10">
        <v>83883000</v>
      </c>
      <c r="F60" s="10">
        <v>141377000</v>
      </c>
      <c r="G60" s="10">
        <v>288565000</v>
      </c>
      <c r="H60" s="10">
        <v>397870000</v>
      </c>
    </row>
    <row r="61" spans="1:8" ht="19" x14ac:dyDescent="0.25">
      <c r="A61" s="5" t="s">
        <v>53</v>
      </c>
      <c r="B61" s="1" t="s">
        <v>91</v>
      </c>
      <c r="C61" s="1">
        <v>255000</v>
      </c>
      <c r="D61" s="1" t="s">
        <v>91</v>
      </c>
      <c r="E61" s="1" t="s">
        <v>91</v>
      </c>
      <c r="F61" s="1">
        <v>383275000</v>
      </c>
      <c r="G61" s="1">
        <v>1255914000</v>
      </c>
      <c r="H61" s="1">
        <v>1543816000</v>
      </c>
    </row>
    <row r="62" spans="1:8" ht="19" x14ac:dyDescent="0.25">
      <c r="A62" s="5" t="s">
        <v>50</v>
      </c>
      <c r="B62" s="1" t="s">
        <v>91</v>
      </c>
      <c r="C62" s="1">
        <v>207000</v>
      </c>
      <c r="D62" s="1">
        <v>220000</v>
      </c>
      <c r="E62" s="1">
        <v>804000</v>
      </c>
      <c r="F62" s="1">
        <v>1891000</v>
      </c>
      <c r="G62" s="1">
        <v>4680000</v>
      </c>
      <c r="H62" s="1">
        <v>11732000</v>
      </c>
    </row>
    <row r="63" spans="1:8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 t="s">
        <v>91</v>
      </c>
    </row>
    <row r="64" spans="1:8" ht="19" x14ac:dyDescent="0.25">
      <c r="A64" s="5" t="s">
        <v>55</v>
      </c>
      <c r="B64" s="1" t="s">
        <v>91</v>
      </c>
      <c r="C64" s="1">
        <v>195352000</v>
      </c>
      <c r="D64" s="1">
        <v>350286000</v>
      </c>
      <c r="E64" s="1">
        <v>20309000</v>
      </c>
      <c r="F64" s="1">
        <v>37168000</v>
      </c>
      <c r="G64" s="1">
        <v>7114000</v>
      </c>
      <c r="H64" s="1">
        <v>10526000</v>
      </c>
    </row>
    <row r="65" spans="1:8" ht="19" x14ac:dyDescent="0.25">
      <c r="A65" s="5" t="s">
        <v>56</v>
      </c>
      <c r="B65" s="1" t="s">
        <v>91</v>
      </c>
      <c r="C65" s="1">
        <v>195814000</v>
      </c>
      <c r="D65" s="1">
        <v>350506000</v>
      </c>
      <c r="E65" s="1">
        <v>21113000</v>
      </c>
      <c r="F65" s="1">
        <v>422334000</v>
      </c>
      <c r="G65" s="1">
        <v>1267708000</v>
      </c>
      <c r="H65" s="1">
        <v>1566074000</v>
      </c>
    </row>
    <row r="66" spans="1:8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</row>
    <row r="67" spans="1:8" ht="19" x14ac:dyDescent="0.25">
      <c r="A67" s="6" t="s">
        <v>58</v>
      </c>
      <c r="B67" s="10" t="s">
        <v>91</v>
      </c>
      <c r="C67" s="10">
        <v>222977000</v>
      </c>
      <c r="D67" s="10">
        <v>411885000</v>
      </c>
      <c r="E67" s="10">
        <v>104996000</v>
      </c>
      <c r="F67" s="10">
        <v>563711000</v>
      </c>
      <c r="G67" s="10">
        <v>1556273000</v>
      </c>
      <c r="H67" s="10">
        <v>1963944000</v>
      </c>
    </row>
    <row r="68" spans="1:8" ht="19" x14ac:dyDescent="0.25">
      <c r="A68" s="5" t="s">
        <v>59</v>
      </c>
      <c r="B68" s="1" t="s">
        <v>91</v>
      </c>
      <c r="C68" s="1">
        <v>79000</v>
      </c>
      <c r="D68" s="1">
        <v>85000</v>
      </c>
      <c r="E68" s="1">
        <v>294000</v>
      </c>
      <c r="F68" s="1">
        <v>304000</v>
      </c>
      <c r="G68" s="1">
        <v>321000</v>
      </c>
      <c r="H68" s="1">
        <v>286000</v>
      </c>
    </row>
    <row r="69" spans="1:8" ht="19" x14ac:dyDescent="0.25">
      <c r="A69" s="5" t="s">
        <v>60</v>
      </c>
      <c r="B69" s="1" t="s">
        <v>91</v>
      </c>
      <c r="C69" s="1">
        <v>-108714000</v>
      </c>
      <c r="D69" s="1">
        <v>-195878000</v>
      </c>
      <c r="E69" s="1">
        <v>-301706000</v>
      </c>
      <c r="F69" s="1">
        <v>-420520000</v>
      </c>
      <c r="G69" s="1">
        <v>-680829000</v>
      </c>
      <c r="H69" s="1">
        <v>-839891000</v>
      </c>
    </row>
    <row r="70" spans="1:8" ht="19" x14ac:dyDescent="0.25">
      <c r="A70" s="5" t="s">
        <v>61</v>
      </c>
      <c r="B70" s="1" t="s">
        <v>91</v>
      </c>
      <c r="C70" s="1">
        <v>-27736000</v>
      </c>
      <c r="D70" s="1">
        <v>-39899000</v>
      </c>
      <c r="E70" s="1">
        <v>-67189000</v>
      </c>
      <c r="F70" s="1">
        <v>163000</v>
      </c>
      <c r="G70" s="1">
        <v>-2645000</v>
      </c>
      <c r="H70" s="1">
        <v>-11896000</v>
      </c>
    </row>
    <row r="71" spans="1:8" ht="19" x14ac:dyDescent="0.25">
      <c r="A71" s="5" t="s">
        <v>62</v>
      </c>
      <c r="B71" s="1" t="s">
        <v>91</v>
      </c>
      <c r="C71" s="1">
        <v>76537000</v>
      </c>
      <c r="D71" s="1">
        <v>122187000</v>
      </c>
      <c r="E71" s="1">
        <v>1094429000</v>
      </c>
      <c r="F71" s="1">
        <v>1236993000</v>
      </c>
      <c r="G71" s="1">
        <v>1498951000</v>
      </c>
      <c r="H71" s="1">
        <v>1475465000</v>
      </c>
    </row>
    <row r="72" spans="1:8" ht="19" x14ac:dyDescent="0.25">
      <c r="A72" s="6" t="s">
        <v>63</v>
      </c>
      <c r="B72" s="10" t="s">
        <v>91</v>
      </c>
      <c r="C72" s="10">
        <v>-59834000</v>
      </c>
      <c r="D72" s="10">
        <v>-113505000</v>
      </c>
      <c r="E72" s="10">
        <v>725828000</v>
      </c>
      <c r="F72" s="10">
        <v>816940000</v>
      </c>
      <c r="G72" s="10">
        <v>815798000</v>
      </c>
      <c r="H72" s="10">
        <v>623964000</v>
      </c>
    </row>
    <row r="73" spans="1:8" ht="20" thickBot="1" x14ac:dyDescent="0.3">
      <c r="A73" s="7" t="s">
        <v>64</v>
      </c>
      <c r="B73" s="11" t="s">
        <v>91</v>
      </c>
      <c r="C73" s="11">
        <v>163143000</v>
      </c>
      <c r="D73" s="11">
        <v>298380000</v>
      </c>
      <c r="E73" s="11">
        <v>830824000</v>
      </c>
      <c r="F73" s="11">
        <v>1380651000</v>
      </c>
      <c r="G73" s="11">
        <v>2372071000</v>
      </c>
      <c r="H73" s="11">
        <v>2587908000</v>
      </c>
    </row>
    <row r="74" spans="1: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</row>
    <row r="75" spans="1: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</row>
    <row r="76" spans="1:8" ht="19" x14ac:dyDescent="0.25">
      <c r="A76" s="5" t="s">
        <v>66</v>
      </c>
      <c r="B76" s="1">
        <v>-17334000</v>
      </c>
      <c r="C76" s="1">
        <v>-10748000</v>
      </c>
      <c r="D76" s="1">
        <v>-87164000</v>
      </c>
      <c r="E76" s="1">
        <v>-105828000</v>
      </c>
      <c r="F76" s="1">
        <v>-119370000</v>
      </c>
      <c r="G76" s="1">
        <v>-260309000</v>
      </c>
      <c r="H76" s="1">
        <v>-193381000</v>
      </c>
    </row>
    <row r="77" spans="1:8" ht="19" x14ac:dyDescent="0.25">
      <c r="A77" s="5" t="s">
        <v>13</v>
      </c>
      <c r="B77" s="1">
        <v>8355000</v>
      </c>
      <c r="C77" s="1">
        <v>12174000</v>
      </c>
      <c r="D77" s="1">
        <v>18905000</v>
      </c>
      <c r="E77" s="1">
        <v>29479000</v>
      </c>
      <c r="F77" s="1">
        <v>49387000</v>
      </c>
      <c r="G77" s="1">
        <v>66607000</v>
      </c>
      <c r="H77" s="1">
        <v>102072000</v>
      </c>
    </row>
    <row r="78" spans="1:8" ht="19" x14ac:dyDescent="0.25">
      <c r="A78" s="5" t="s">
        <v>67</v>
      </c>
      <c r="B78" s="1">
        <v>-530000</v>
      </c>
      <c r="C78" s="1">
        <v>-135000</v>
      </c>
      <c r="D78" s="1">
        <v>385000</v>
      </c>
      <c r="E78" s="1">
        <v>370000</v>
      </c>
      <c r="F78" s="1">
        <v>-6145000</v>
      </c>
      <c r="G78" s="1">
        <v>8738000</v>
      </c>
      <c r="H78" s="1">
        <v>-140000</v>
      </c>
    </row>
    <row r="79" spans="1:8" ht="19" x14ac:dyDescent="0.25">
      <c r="A79" s="5" t="s">
        <v>68</v>
      </c>
      <c r="B79" s="1">
        <v>5700000</v>
      </c>
      <c r="C79" s="1">
        <v>2755000</v>
      </c>
      <c r="D79" s="1">
        <v>27347000</v>
      </c>
      <c r="E79" s="1">
        <v>36627000</v>
      </c>
      <c r="F79" s="1">
        <v>56334000</v>
      </c>
      <c r="G79" s="1">
        <v>90136000</v>
      </c>
      <c r="H79" s="1">
        <v>202777000</v>
      </c>
    </row>
    <row r="80" spans="1:8" ht="19" x14ac:dyDescent="0.25">
      <c r="A80" s="14" t="s">
        <v>103</v>
      </c>
      <c r="B80" s="15">
        <f t="shared" ref="B80:H80" si="24">B79/B3</f>
        <v>6.7224115767003573E-2</v>
      </c>
      <c r="C80" s="15">
        <f t="shared" si="24"/>
        <v>2.0420264611051404E-2</v>
      </c>
      <c r="D80" s="15">
        <f t="shared" si="24"/>
        <v>0.14193404403292609</v>
      </c>
      <c r="E80" s="15">
        <f t="shared" si="24"/>
        <v>0.12761042707527645</v>
      </c>
      <c r="F80" s="15">
        <f t="shared" si="24"/>
        <v>0.1306874464980432</v>
      </c>
      <c r="G80" s="15">
        <f t="shared" si="24"/>
        <v>0.13731326912706079</v>
      </c>
      <c r="H80" s="15">
        <f t="shared" si="24"/>
        <v>0.20792501545771763</v>
      </c>
    </row>
    <row r="81" spans="1:16" ht="19" x14ac:dyDescent="0.25">
      <c r="A81" s="5" t="s">
        <v>69</v>
      </c>
      <c r="B81" s="1">
        <v>-11752000</v>
      </c>
      <c r="C81" s="1">
        <v>-5231000</v>
      </c>
      <c r="D81" s="1">
        <v>-11590000</v>
      </c>
      <c r="E81" s="1">
        <v>-12894000</v>
      </c>
      <c r="F81" s="1">
        <v>-61064000</v>
      </c>
      <c r="G81" s="1">
        <v>3390000</v>
      </c>
      <c r="H81" s="1">
        <v>12267000</v>
      </c>
    </row>
    <row r="82" spans="1:16" ht="19" x14ac:dyDescent="0.25">
      <c r="A82" s="5" t="s">
        <v>70</v>
      </c>
      <c r="B82" s="1">
        <v>-6680000</v>
      </c>
      <c r="C82" s="1">
        <v>-2073000</v>
      </c>
      <c r="D82" s="1">
        <v>-14758000</v>
      </c>
      <c r="E82" s="1">
        <v>-11200000</v>
      </c>
      <c r="F82" s="1">
        <v>-33000000</v>
      </c>
      <c r="G82" s="1">
        <v>-35848000</v>
      </c>
      <c r="H82" s="1">
        <v>-56195000</v>
      </c>
    </row>
    <row r="83" spans="1:16" ht="21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 t="s">
        <v>91</v>
      </c>
      <c r="F83" s="1" t="s">
        <v>91</v>
      </c>
      <c r="G83" s="1" t="s">
        <v>91</v>
      </c>
      <c r="H83" s="1" t="s">
        <v>91</v>
      </c>
      <c r="O83" s="64" t="s">
        <v>124</v>
      </c>
      <c r="P83" s="65"/>
    </row>
    <row r="84" spans="1:16" ht="19" x14ac:dyDescent="0.25">
      <c r="A84" s="5" t="s">
        <v>47</v>
      </c>
      <c r="B84" s="1">
        <v>1247000</v>
      </c>
      <c r="C84" s="1">
        <v>-957000</v>
      </c>
      <c r="D84" s="1">
        <v>4386000</v>
      </c>
      <c r="E84" s="1">
        <v>-1328000</v>
      </c>
      <c r="F84" s="1">
        <v>1690000</v>
      </c>
      <c r="G84" s="1">
        <v>2462000</v>
      </c>
      <c r="H84" s="1">
        <v>-9605000</v>
      </c>
      <c r="O84" s="66" t="s">
        <v>125</v>
      </c>
      <c r="P84" s="66"/>
    </row>
    <row r="85" spans="1:16" ht="20" x14ac:dyDescent="0.25">
      <c r="A85" s="5" t="s">
        <v>71</v>
      </c>
      <c r="B85" s="1">
        <v>-8031000</v>
      </c>
      <c r="C85" s="1">
        <v>-3476000</v>
      </c>
      <c r="D85" s="1">
        <v>-7332000</v>
      </c>
      <c r="E85" s="1">
        <v>-5455000</v>
      </c>
      <c r="F85" s="1">
        <v>-11126000</v>
      </c>
      <c r="G85" s="1">
        <v>8979000</v>
      </c>
      <c r="H85" s="1" t="s">
        <v>91</v>
      </c>
      <c r="O85" s="42" t="s">
        <v>126</v>
      </c>
      <c r="P85" s="43">
        <f>H17</f>
        <v>4984000</v>
      </c>
    </row>
    <row r="86" spans="1:16" ht="20" x14ac:dyDescent="0.25">
      <c r="A86" s="5" t="s">
        <v>72</v>
      </c>
      <c r="B86" s="1">
        <v>2243000</v>
      </c>
      <c r="C86" s="1">
        <v>4352000</v>
      </c>
      <c r="D86" s="1">
        <v>8836000</v>
      </c>
      <c r="E86" s="1">
        <v>13329000</v>
      </c>
      <c r="F86" s="1">
        <v>63729000</v>
      </c>
      <c r="G86" s="1">
        <v>156086000</v>
      </c>
      <c r="H86" s="1" t="s">
        <v>91</v>
      </c>
      <c r="O86" s="42" t="s">
        <v>127</v>
      </c>
      <c r="P86" s="43">
        <f>H56</f>
        <v>33275000</v>
      </c>
    </row>
    <row r="87" spans="1:16" ht="20" x14ac:dyDescent="0.25">
      <c r="A87" s="6" t="s">
        <v>73</v>
      </c>
      <c r="B87" s="10">
        <v>-13318000</v>
      </c>
      <c r="C87" s="10">
        <v>3167000</v>
      </c>
      <c r="D87" s="10">
        <v>-43281000</v>
      </c>
      <c r="E87" s="10">
        <v>-38917000</v>
      </c>
      <c r="F87" s="10">
        <v>-17129000</v>
      </c>
      <c r="G87" s="10">
        <v>64648000</v>
      </c>
      <c r="H87" s="10">
        <v>123595000</v>
      </c>
      <c r="O87" s="42" t="s">
        <v>128</v>
      </c>
      <c r="P87" s="43">
        <f>H61</f>
        <v>1543816000</v>
      </c>
    </row>
    <row r="88" spans="1:16" ht="20" x14ac:dyDescent="0.25">
      <c r="A88" s="5" t="s">
        <v>74</v>
      </c>
      <c r="B88" s="1">
        <v>-15898000</v>
      </c>
      <c r="C88" s="1">
        <v>-19031000</v>
      </c>
      <c r="D88" s="1">
        <v>-25466000</v>
      </c>
      <c r="E88" s="1">
        <v>-43289000</v>
      </c>
      <c r="F88" s="1">
        <v>-56375000</v>
      </c>
      <c r="G88" s="1">
        <v>-92986000</v>
      </c>
      <c r="H88" s="1">
        <v>-143606000</v>
      </c>
      <c r="O88" s="44" t="s">
        <v>129</v>
      </c>
      <c r="P88" s="45">
        <f>P85/(P86+P87)</f>
        <v>3.1602488378920431E-3</v>
      </c>
    </row>
    <row r="89" spans="1:16" ht="20" customHeight="1" x14ac:dyDescent="0.25">
      <c r="A89" s="14" t="s">
        <v>104</v>
      </c>
      <c r="B89" s="15">
        <f t="shared" ref="B89:H89" si="25">(-1*B88)/B3</f>
        <v>0.18749631446733733</v>
      </c>
      <c r="C89" s="15">
        <f t="shared" si="25"/>
        <v>0.14105918541303783</v>
      </c>
      <c r="D89" s="15">
        <f t="shared" si="25"/>
        <v>0.13217143984139013</v>
      </c>
      <c r="E89" s="15">
        <f t="shared" si="25"/>
        <v>0.15082119140693048</v>
      </c>
      <c r="F89" s="15">
        <f t="shared" si="25"/>
        <v>0.13078256108792533</v>
      </c>
      <c r="G89" s="15">
        <f t="shared" si="25"/>
        <v>0.14165496186927393</v>
      </c>
      <c r="H89" s="15">
        <f t="shared" si="25"/>
        <v>0.14725180750194056</v>
      </c>
      <c r="O89" s="42" t="s">
        <v>105</v>
      </c>
      <c r="P89" s="43">
        <f>H27</f>
        <v>2648000</v>
      </c>
    </row>
    <row r="90" spans="1:16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>
        <v>-13941000</v>
      </c>
      <c r="G90" s="1">
        <v>-5605000</v>
      </c>
      <c r="H90" s="1">
        <v>-88187000</v>
      </c>
      <c r="O90" s="42" t="s">
        <v>19</v>
      </c>
      <c r="P90" s="43">
        <f>H25</f>
        <v>-190733000</v>
      </c>
    </row>
    <row r="91" spans="1:16" ht="20" x14ac:dyDescent="0.25">
      <c r="A91" s="5" t="s">
        <v>76</v>
      </c>
      <c r="B91" s="1">
        <v>-74891000</v>
      </c>
      <c r="C91" s="1">
        <v>-47090000</v>
      </c>
      <c r="D91" s="1">
        <v>-145269000</v>
      </c>
      <c r="E91" s="1">
        <v>-537382000</v>
      </c>
      <c r="F91" s="1">
        <v>-1267015000</v>
      </c>
      <c r="G91" s="1">
        <v>-1589265000</v>
      </c>
      <c r="H91" s="1">
        <v>-1132951000</v>
      </c>
      <c r="O91" s="44" t="s">
        <v>130</v>
      </c>
      <c r="P91" s="45">
        <f>P89/P90</f>
        <v>-1.388328186522521E-2</v>
      </c>
    </row>
    <row r="92" spans="1:16" ht="20" x14ac:dyDescent="0.25">
      <c r="A92" s="5" t="s">
        <v>77</v>
      </c>
      <c r="B92" s="1">
        <v>79561000</v>
      </c>
      <c r="C92" s="1">
        <v>79831000</v>
      </c>
      <c r="D92" s="1">
        <v>59249000</v>
      </c>
      <c r="E92" s="1">
        <v>176976000</v>
      </c>
      <c r="F92" s="1">
        <v>840248000</v>
      </c>
      <c r="G92" s="1">
        <v>993233000</v>
      </c>
      <c r="H92" s="1">
        <v>1148770000</v>
      </c>
      <c r="O92" s="44" t="s">
        <v>131</v>
      </c>
      <c r="P92" s="45">
        <f>P88*(1-P91)</f>
        <v>3.2041234632727488E-3</v>
      </c>
    </row>
    <row r="93" spans="1:16" ht="19" x14ac:dyDescent="0.25">
      <c r="A93" s="5" t="s">
        <v>78</v>
      </c>
      <c r="B93" s="1">
        <v>-4028000</v>
      </c>
      <c r="C93" s="1">
        <v>-4166000</v>
      </c>
      <c r="D93" s="1">
        <v>-9309000</v>
      </c>
      <c r="E93" s="1">
        <v>-13946000</v>
      </c>
      <c r="F93" s="1">
        <v>-18190000</v>
      </c>
      <c r="G93" s="1">
        <v>-14699000</v>
      </c>
      <c r="H93" s="1">
        <v>-19722000</v>
      </c>
      <c r="O93" s="66" t="s">
        <v>132</v>
      </c>
      <c r="P93" s="66"/>
    </row>
    <row r="94" spans="1:16" ht="20" x14ac:dyDescent="0.25">
      <c r="A94" s="6" t="s">
        <v>79</v>
      </c>
      <c r="B94" s="10">
        <v>-15256000</v>
      </c>
      <c r="C94" s="10">
        <v>9544000</v>
      </c>
      <c r="D94" s="10">
        <v>-120795000</v>
      </c>
      <c r="E94" s="10">
        <v>-417641000</v>
      </c>
      <c r="F94" s="10">
        <v>-515273000</v>
      </c>
      <c r="G94" s="10">
        <v>-709322000</v>
      </c>
      <c r="H94" s="10">
        <v>-235696000</v>
      </c>
      <c r="O94" s="42" t="s">
        <v>133</v>
      </c>
      <c r="P94" s="46">
        <f>[1]Treasuries!$C$8</f>
        <v>3.8539999999999998E-2</v>
      </c>
    </row>
    <row r="95" spans="1:16" ht="20" x14ac:dyDescent="0.25">
      <c r="A95" s="5" t="s">
        <v>80</v>
      </c>
      <c r="B95" s="1">
        <v>-507000</v>
      </c>
      <c r="C95" s="1">
        <v>-5095000</v>
      </c>
      <c r="D95" s="1">
        <v>-356000</v>
      </c>
      <c r="E95" s="1">
        <v>-255000</v>
      </c>
      <c r="F95" s="1">
        <v>-200000</v>
      </c>
      <c r="G95" s="1">
        <v>-370647000</v>
      </c>
      <c r="H95" s="1" t="s">
        <v>91</v>
      </c>
      <c r="O95" s="42" t="s">
        <v>134</v>
      </c>
      <c r="P95" s="47" cm="1">
        <f t="array" ref="P95">_FV(A1,"Beta")</f>
        <v>0.94420000000000004</v>
      </c>
    </row>
    <row r="96" spans="1:16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570544000</v>
      </c>
      <c r="F96" s="1">
        <v>10923000</v>
      </c>
      <c r="G96" s="1" t="s">
        <v>91</v>
      </c>
      <c r="H96" s="1" t="s">
        <v>91</v>
      </c>
      <c r="O96" s="42" t="s">
        <v>135</v>
      </c>
      <c r="P96" s="46">
        <v>8.4000000000000005E-2</v>
      </c>
    </row>
    <row r="97" spans="1:16" ht="20" x14ac:dyDescent="0.25">
      <c r="A97" s="5" t="s">
        <v>82</v>
      </c>
      <c r="B97" s="1">
        <v>-20000</v>
      </c>
      <c r="C97" s="1">
        <v>-16000</v>
      </c>
      <c r="D97" s="1">
        <v>-65000</v>
      </c>
      <c r="E97" s="1">
        <v>-283000</v>
      </c>
      <c r="F97" s="1">
        <v>-157000</v>
      </c>
      <c r="G97" s="1">
        <v>-189000</v>
      </c>
      <c r="H97" s="1">
        <v>-3000</v>
      </c>
      <c r="O97" s="44" t="s">
        <v>136</v>
      </c>
      <c r="P97" s="45">
        <f>(P94)+((P95)*(P96-P94))</f>
        <v>8.1463331999999999E-2</v>
      </c>
    </row>
    <row r="98" spans="1:16" ht="19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 t="s">
        <v>91</v>
      </c>
      <c r="H98" s="1">
        <v>0</v>
      </c>
      <c r="O98" s="66" t="s">
        <v>137</v>
      </c>
      <c r="P98" s="66"/>
    </row>
    <row r="99" spans="1:16" ht="20" x14ac:dyDescent="0.25">
      <c r="A99" s="5" t="s">
        <v>84</v>
      </c>
      <c r="B99" s="1">
        <v>945000</v>
      </c>
      <c r="C99" s="1">
        <v>4962000</v>
      </c>
      <c r="D99" s="1">
        <v>169042000</v>
      </c>
      <c r="E99" s="1">
        <v>762000</v>
      </c>
      <c r="F99" s="1">
        <v>494346000</v>
      </c>
      <c r="G99" s="1">
        <v>1218322000</v>
      </c>
      <c r="H99" s="1">
        <v>6350000</v>
      </c>
      <c r="O99" s="42" t="s">
        <v>138</v>
      </c>
      <c r="P99" s="43">
        <f>P86+P87</f>
        <v>1577091000</v>
      </c>
    </row>
    <row r="100" spans="1:16" ht="20" x14ac:dyDescent="0.25">
      <c r="A100" s="6" t="s">
        <v>85</v>
      </c>
      <c r="B100" s="10">
        <v>418000</v>
      </c>
      <c r="C100" s="10">
        <v>-149000</v>
      </c>
      <c r="D100" s="10">
        <v>168621000</v>
      </c>
      <c r="E100" s="10">
        <v>570768000</v>
      </c>
      <c r="F100" s="10">
        <v>504912000</v>
      </c>
      <c r="G100" s="10">
        <v>847486000</v>
      </c>
      <c r="H100" s="10">
        <v>6347000</v>
      </c>
      <c r="O100" s="44" t="s">
        <v>139</v>
      </c>
      <c r="P100" s="45">
        <f>P99/P103</f>
        <v>6.7761441718717397E-2</v>
      </c>
    </row>
    <row r="101" spans="1:16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O101" s="42" t="s">
        <v>140</v>
      </c>
      <c r="P101" s="48" cm="1">
        <f t="array" ref="P101">_FV(A1,"Market cap",TRUE)</f>
        <v>21697074366</v>
      </c>
    </row>
    <row r="102" spans="1:16" ht="20" x14ac:dyDescent="0.25">
      <c r="A102" s="6" t="s">
        <v>87</v>
      </c>
      <c r="B102" s="10">
        <v>-28156000</v>
      </c>
      <c r="C102" s="10">
        <v>12562000</v>
      </c>
      <c r="D102" s="10">
        <v>4545000</v>
      </c>
      <c r="E102" s="10">
        <v>114210000</v>
      </c>
      <c r="F102" s="10">
        <v>-27490000</v>
      </c>
      <c r="G102" s="10">
        <v>202812000</v>
      </c>
      <c r="H102" s="10">
        <v>-105754000</v>
      </c>
      <c r="O102" s="44" t="s">
        <v>141</v>
      </c>
      <c r="P102" s="45">
        <f>P101/P103</f>
        <v>0.93223855828128255</v>
      </c>
    </row>
    <row r="103" spans="1:16" ht="20" x14ac:dyDescent="0.25">
      <c r="A103" s="5" t="s">
        <v>88</v>
      </c>
      <c r="B103" s="1">
        <v>42475000</v>
      </c>
      <c r="C103" s="1">
        <v>14319000</v>
      </c>
      <c r="D103" s="1">
        <v>26881000</v>
      </c>
      <c r="E103" s="1">
        <v>31426000</v>
      </c>
      <c r="F103" s="1">
        <v>145636000</v>
      </c>
      <c r="G103" s="1">
        <v>118146000</v>
      </c>
      <c r="H103" s="1">
        <v>320958000</v>
      </c>
      <c r="O103" s="44" t="s">
        <v>142</v>
      </c>
      <c r="P103" s="49">
        <f>P99+P101</f>
        <v>23274165366</v>
      </c>
    </row>
    <row r="104" spans="1:16" ht="20" thickBot="1" x14ac:dyDescent="0.3">
      <c r="A104" s="7" t="s">
        <v>89</v>
      </c>
      <c r="B104" s="11">
        <v>14319000</v>
      </c>
      <c r="C104" s="11">
        <v>26881000</v>
      </c>
      <c r="D104" s="11">
        <v>31426000</v>
      </c>
      <c r="E104" s="11">
        <v>145636000</v>
      </c>
      <c r="F104" s="11">
        <v>118146000</v>
      </c>
      <c r="G104" s="11">
        <v>320958000</v>
      </c>
      <c r="H104" s="11">
        <v>215204000</v>
      </c>
      <c r="O104" s="66" t="s">
        <v>143</v>
      </c>
      <c r="P104" s="66"/>
    </row>
    <row r="105" spans="1:16" ht="21" thickTop="1" x14ac:dyDescent="0.25">
      <c r="A105" s="14" t="s">
        <v>159</v>
      </c>
      <c r="B105" s="1">
        <f t="shared" ref="B105:G105" si="26">(B22*(1-0.2))+B77+B88+B81</f>
        <v>-32918200</v>
      </c>
      <c r="C105" s="1">
        <f t="shared" si="26"/>
        <v>-19872000</v>
      </c>
      <c r="D105" s="1">
        <f t="shared" si="26"/>
        <v>-86070200</v>
      </c>
      <c r="E105" s="1">
        <f t="shared" si="26"/>
        <v>-113060800</v>
      </c>
      <c r="F105" s="1">
        <f t="shared" si="26"/>
        <v>-153466400</v>
      </c>
      <c r="G105" s="1">
        <f t="shared" si="26"/>
        <v>-125136200</v>
      </c>
      <c r="H105" s="1">
        <f>(H22*(1-0.2))+H77+H88+H81</f>
        <v>-190229400</v>
      </c>
      <c r="I105" s="27">
        <f>H105*(1+$P$106)</f>
        <v>-250130700.60007718</v>
      </c>
      <c r="J105" s="27">
        <f t="shared" ref="J105:M105" si="27">I105*(1+$P$106)</f>
        <v>-328894310.67272174</v>
      </c>
      <c r="K105" s="27">
        <f t="shared" si="27"/>
        <v>-432459779.36085242</v>
      </c>
      <c r="L105" s="27">
        <f t="shared" si="27"/>
        <v>-568636959.33901286</v>
      </c>
      <c r="M105" s="27">
        <f t="shared" si="27"/>
        <v>-747694946.34669983</v>
      </c>
      <c r="N105" s="28" t="s">
        <v>162</v>
      </c>
      <c r="O105" s="50" t="s">
        <v>106</v>
      </c>
      <c r="P105" s="51">
        <f>(P100*P92)+(P102*P97)</f>
        <v>7.6160375201785591E-2</v>
      </c>
    </row>
    <row r="106" spans="1:16" ht="19" x14ac:dyDescent="0.25">
      <c r="A106" s="14" t="s">
        <v>160</v>
      </c>
      <c r="B106" s="1"/>
      <c r="C106" s="15">
        <f t="shared" ref="C106:H106" si="28">(C107/B107)-1</f>
        <v>-0.37859204417116321</v>
      </c>
      <c r="D106" s="15">
        <f t="shared" si="28"/>
        <v>2.9438610662358644</v>
      </c>
      <c r="E106" s="15">
        <f t="shared" si="28"/>
        <v>0.23138760880696374</v>
      </c>
      <c r="F106" s="15">
        <f t="shared" si="28"/>
        <v>-4.2673292028774568E-2</v>
      </c>
      <c r="G106" s="15">
        <f t="shared" si="28"/>
        <v>-0.53209325558415044</v>
      </c>
      <c r="H106" s="15">
        <f t="shared" si="28"/>
        <v>-7.7071246228823442E-2</v>
      </c>
      <c r="I106" s="33">
        <v>86499000</v>
      </c>
      <c r="J106" s="33">
        <v>99979000</v>
      </c>
      <c r="K106" s="33">
        <v>147000000</v>
      </c>
      <c r="L106" s="33">
        <v>317900000</v>
      </c>
      <c r="M106" s="33">
        <v>436700000</v>
      </c>
      <c r="N106" s="28" t="s">
        <v>163</v>
      </c>
      <c r="O106" s="52" t="s">
        <v>144</v>
      </c>
      <c r="P106" s="53">
        <f>(SUM(I4:M4)/5)</f>
        <v>0.31488981513939063</v>
      </c>
    </row>
    <row r="107" spans="1:16" ht="19" x14ac:dyDescent="0.25">
      <c r="A107" s="39" t="s">
        <v>161</v>
      </c>
      <c r="B107" s="1">
        <v>-31876000</v>
      </c>
      <c r="C107" s="1">
        <v>-19808000</v>
      </c>
      <c r="D107" s="1">
        <v>-78120000</v>
      </c>
      <c r="E107" s="1">
        <v>-96196000</v>
      </c>
      <c r="F107" s="1">
        <v>-92091000</v>
      </c>
      <c r="G107" s="1">
        <v>-43090000</v>
      </c>
      <c r="H107" s="1">
        <v>-39769000</v>
      </c>
      <c r="I107" s="28"/>
      <c r="J107" s="28"/>
      <c r="K107" s="28"/>
      <c r="L107" s="28"/>
      <c r="M107" s="32">
        <f>M106*(1+P107)/(P108-P107)</f>
        <v>8749300571.6732368</v>
      </c>
      <c r="N107" s="29" t="s">
        <v>145</v>
      </c>
      <c r="O107" s="54" t="s">
        <v>146</v>
      </c>
      <c r="P107" s="55">
        <v>2.5000000000000001E-2</v>
      </c>
    </row>
    <row r="108" spans="1:16" ht="19" x14ac:dyDescent="0.25">
      <c r="I108" s="32">
        <f t="shared" ref="I108:L108" si="29">I107+I106</f>
        <v>86499000</v>
      </c>
      <c r="J108" s="32">
        <f t="shared" si="29"/>
        <v>99979000</v>
      </c>
      <c r="K108" s="32">
        <f t="shared" si="29"/>
        <v>147000000</v>
      </c>
      <c r="L108" s="32">
        <f t="shared" si="29"/>
        <v>317900000</v>
      </c>
      <c r="M108" s="32">
        <f>M107+M106</f>
        <v>9186000571.6732368</v>
      </c>
      <c r="N108" s="29" t="s">
        <v>142</v>
      </c>
      <c r="O108" s="56" t="s">
        <v>147</v>
      </c>
      <c r="P108" s="53">
        <f>P105</f>
        <v>7.6160375201785591E-2</v>
      </c>
    </row>
    <row r="109" spans="1:16" ht="19" x14ac:dyDescent="0.25">
      <c r="I109" s="63" t="s">
        <v>148</v>
      </c>
      <c r="J109" s="63"/>
    </row>
    <row r="110" spans="1:16" ht="20" x14ac:dyDescent="0.25">
      <c r="I110" s="57" t="s">
        <v>149</v>
      </c>
      <c r="J110" s="48">
        <f>NPV(P108,I108,J108,K108,L108,M108)</f>
        <v>6885837316.6807222</v>
      </c>
    </row>
    <row r="111" spans="1:16" ht="20" x14ac:dyDescent="0.25">
      <c r="I111" s="57" t="s">
        <v>150</v>
      </c>
      <c r="J111" s="48">
        <f>H40</f>
        <v>1649937000</v>
      </c>
    </row>
    <row r="112" spans="1:16" ht="20" x14ac:dyDescent="0.25">
      <c r="I112" s="57" t="s">
        <v>138</v>
      </c>
      <c r="J112" s="48">
        <f>P99</f>
        <v>1577091000</v>
      </c>
    </row>
    <row r="113" spans="9:10" ht="20" x14ac:dyDescent="0.25">
      <c r="I113" s="57" t="s">
        <v>151</v>
      </c>
      <c r="J113" s="48">
        <f>J110+J111-J112</f>
        <v>6958683316.6807222</v>
      </c>
    </row>
    <row r="114" spans="9:10" ht="20" x14ac:dyDescent="0.25">
      <c r="I114" s="57" t="s">
        <v>164</v>
      </c>
      <c r="J114" s="57">
        <f>H34*(1+(5*0.05))</f>
        <v>407915000</v>
      </c>
    </row>
    <row r="115" spans="9:10" ht="20" x14ac:dyDescent="0.25">
      <c r="I115" s="58" t="s">
        <v>152</v>
      </c>
      <c r="J115" s="59">
        <f>J113/J114</f>
        <v>17.059150354070631</v>
      </c>
    </row>
    <row r="116" spans="9:10" ht="20" x14ac:dyDescent="0.25">
      <c r="I116" s="57" t="s">
        <v>153</v>
      </c>
      <c r="J116" s="60" cm="1">
        <f t="array" ref="J116">_FV(A1,"Price")</f>
        <v>65.37</v>
      </c>
    </row>
    <row r="117" spans="9:10" ht="20" x14ac:dyDescent="0.25">
      <c r="I117" s="58" t="s">
        <v>154</v>
      </c>
      <c r="J117" s="61">
        <f>J115/J116-1</f>
        <v>-0.73903701462336502</v>
      </c>
    </row>
    <row r="118" spans="9:10" ht="20" x14ac:dyDescent="0.25">
      <c r="I118" s="58" t="s">
        <v>155</v>
      </c>
      <c r="J118" s="62" t="str">
        <f>IF(J115&gt;J116,"BUY","SELL")</f>
        <v>SELL</v>
      </c>
    </row>
  </sheetData>
  <mergeCells count="6">
    <mergeCell ref="I109:J109"/>
    <mergeCell ref="O83:P83"/>
    <mergeCell ref="O84:P84"/>
    <mergeCell ref="O93:P93"/>
    <mergeCell ref="O98:P98"/>
    <mergeCell ref="O104:P104"/>
  </mergeCells>
  <hyperlinks>
    <hyperlink ref="A1" r:id="rId1" tooltip="https://roic.ai/company/NET" display="ROIC.AI | NE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477333/000147733320000010/0001477333-20-000010-index.htm" xr:uid="{00000000-0004-0000-0000-00000A000000}"/>
    <hyperlink ref="E74" r:id="rId9" tooltip="https://www.sec.gov/Archives/edgar/data/1477333/000147733320000010/0001477333-20-000010-index.htm" xr:uid="{00000000-0004-0000-0000-00000B000000}"/>
    <hyperlink ref="F36" r:id="rId10" tooltip="https://www.sec.gov/Archives/edgar/data/1477333/000147733321000009/0001477333-21-000009-index.htm" xr:uid="{00000000-0004-0000-0000-00000D000000}"/>
    <hyperlink ref="F74" r:id="rId11" tooltip="https://www.sec.gov/Archives/edgar/data/1477333/000147733321000009/0001477333-21-000009-index.htm" xr:uid="{00000000-0004-0000-0000-00000E000000}"/>
    <hyperlink ref="G36" r:id="rId12" tooltip="https://www.sec.gov/Archives/edgar/data/1477333/000147733322000008/0001477333-22-000008-index.htm" xr:uid="{00000000-0004-0000-0000-000010000000}"/>
    <hyperlink ref="G74" r:id="rId13" tooltip="https://www.sec.gov/Archives/edgar/data/1477333/000147733322000008/0001477333-22-000008-index.htm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1" r:id="rId16" display="https://finbox.com/NYSE:NET/explorer/revenue_proj" xr:uid="{EBEC148F-E718-AC46-AC4A-2395B0169C85}"/>
    <hyperlink ref="N106" r:id="rId17" xr:uid="{BB71EA66-3294-2744-B0DC-B805978CCB86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2023-02-23T15:48:59Z</dcterms:created>
  <dcterms:modified xsi:type="dcterms:W3CDTF">2023-07-01T07:52:52Z</dcterms:modified>
</cp:coreProperties>
</file>