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C23853B-0585-C941-9D4C-94B871E4BBAF}"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8" i="1" l="1"/>
  <c r="G108" i="1"/>
  <c r="H108" i="1"/>
  <c r="I108" i="1"/>
  <c r="G114" i="1"/>
  <c r="F105" i="1"/>
  <c r="G105" i="1" s="1"/>
  <c r="H105" i="1" s="1"/>
  <c r="I105" i="1" s="1"/>
  <c r="J105" i="1" s="1"/>
  <c r="B105" i="1"/>
  <c r="C105" i="1"/>
  <c r="D105" i="1"/>
  <c r="E105" i="1"/>
  <c r="M94" i="1"/>
  <c r="G30" i="1"/>
  <c r="H30" i="1"/>
  <c r="I30" i="1"/>
  <c r="J30" i="1"/>
  <c r="F30" i="1"/>
  <c r="F29" i="1"/>
  <c r="G29" i="1"/>
  <c r="H29" i="1"/>
  <c r="I29" i="1"/>
  <c r="J29" i="1"/>
  <c r="G21" i="1"/>
  <c r="H21" i="1"/>
  <c r="I21" i="1"/>
  <c r="J21" i="1"/>
  <c r="F21" i="1"/>
  <c r="F20" i="1"/>
  <c r="G20" i="1"/>
  <c r="H20" i="1"/>
  <c r="I20" i="1"/>
  <c r="J20" i="1"/>
  <c r="G116" i="1" a="1"/>
  <c r="G116" i="1" s="1"/>
  <c r="M101" i="1" a="1"/>
  <c r="M101" i="1" s="1"/>
  <c r="M19" i="1" s="1"/>
  <c r="M95" i="1" a="1"/>
  <c r="M95" i="1" s="1"/>
  <c r="G111" i="1"/>
  <c r="M90" i="1"/>
  <c r="M91" i="1"/>
  <c r="M89" i="1"/>
  <c r="M87" i="1"/>
  <c r="M86" i="1"/>
  <c r="M85" i="1"/>
  <c r="K19" i="1"/>
  <c r="K16" i="1"/>
  <c r="N13" i="1"/>
  <c r="M13" i="1"/>
  <c r="L13" i="1"/>
  <c r="K13" i="1"/>
  <c r="N10" i="1"/>
  <c r="M10" i="1"/>
  <c r="L10" i="1"/>
  <c r="K10" i="1"/>
  <c r="N7" i="1"/>
  <c r="M7" i="1"/>
  <c r="L7" i="1"/>
  <c r="K7" i="1"/>
  <c r="M4" i="1"/>
  <c r="L4" i="1"/>
  <c r="K4" i="1"/>
  <c r="J4" i="1"/>
  <c r="I4" i="1"/>
  <c r="H4" i="1"/>
  <c r="G4" i="1"/>
  <c r="F4" i="1"/>
  <c r="E106" i="1"/>
  <c r="N4" i="1" s="1"/>
  <c r="D106" i="1"/>
  <c r="C106" i="1"/>
  <c r="E89" i="1"/>
  <c r="D89" i="1"/>
  <c r="C89" i="1"/>
  <c r="B89" i="1"/>
  <c r="E80" i="1"/>
  <c r="D80" i="1"/>
  <c r="C80" i="1"/>
  <c r="B80" i="1"/>
  <c r="E35" i="1"/>
  <c r="D35" i="1"/>
  <c r="C35" i="1"/>
  <c r="E29" i="1"/>
  <c r="D29" i="1"/>
  <c r="C29" i="1"/>
  <c r="E20" i="1"/>
  <c r="D20" i="1"/>
  <c r="C20" i="1"/>
  <c r="E13" i="1"/>
  <c r="D13" i="1"/>
  <c r="C13" i="1"/>
  <c r="B13" i="1"/>
  <c r="E9" i="1"/>
  <c r="D9" i="1"/>
  <c r="C9" i="1"/>
  <c r="B9" i="1"/>
  <c r="E4" i="1"/>
  <c r="D4" i="1"/>
  <c r="C4" i="1"/>
  <c r="M88" i="1"/>
  <c r="M92" i="1"/>
  <c r="M99" i="1"/>
  <c r="G112" i="1"/>
  <c r="M22" i="1" l="1"/>
  <c r="N22" i="1"/>
  <c r="M97" i="1"/>
  <c r="N19" i="1"/>
  <c r="L19" i="1"/>
  <c r="M106" i="1"/>
  <c r="L16" i="1"/>
  <c r="M103" i="1"/>
  <c r="M100" i="1" s="1"/>
  <c r="M16" i="1"/>
  <c r="N16" i="1"/>
  <c r="M102" i="1" l="1"/>
  <c r="M105" i="1" s="1"/>
  <c r="M108" i="1" s="1"/>
  <c r="J107" i="1" s="1"/>
  <c r="J108" i="1" s="1"/>
  <c r="G110" i="1" l="1"/>
  <c r="G113" i="1" s="1"/>
  <c r="G115" i="1" s="1"/>
  <c r="G117" i="1" s="1"/>
  <c r="G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<sst xmlns="http://schemas.openxmlformats.org/spreadsheetml/2006/main" count="268" uniqueCount="168">
  <si>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</si>
  <si>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</si>
  <si>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</si>
  <si>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</si>
  <si>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</si>
  <si>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</si>
  <si>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</si>
  <si>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</si>
  <si>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</si>
  <si>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</si>
  <si>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</si>
  <si>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</si>
  <si>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</si>
  <si>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</si>
  <si>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</si>
  <si>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</si>
  <si>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</si>
  <si>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</si>
  <si>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</si>
  <si>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</si>
  <si>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</si>
  <si>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</si>
  <si>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</si>
  <si>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</si>
  <si>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</si>
  <si>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</si>
  <si>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</si>
  <si>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</si>
  <si>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</si>
  <si>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</si>
  <si>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</si>
  <si>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</si>
  <si>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</si>
  <si>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</si>
  <si>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</si>
  <si>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</si>
  <si>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</si>
  <si>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</si>
  <si>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</si>
  <si>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</si>
  <si>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</si>
  <si>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</si>
  <si>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</si>
  <si>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</si>
  <si>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</si>
  <si>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</si>
  <si>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</si>
  <si>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</si>
  <si>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</si>
  <si>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</si>
  <si>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</si>
  <si>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</si>
  <si>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</si>
  <si>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</si>
  <si>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</si>
  <si>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</si>
  <si>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</si>
  <si>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</si>
  <si>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</si>
  <si>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</si>
  <si>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</si>
  <si>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</si>
  <si>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</si>
  <si>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</si>
  <si>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</si>
  <si>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</si>
  <si>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</si>
  <si>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</si>
  <si>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</si>
  <si>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</si>
  <si>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</si>
  <si>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</si>
  <si>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</si>
  <si>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</si>
  <si>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</si>
  <si>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</si>
  <si>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</si>
  <si>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</si>
  <si>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</si>
  <si>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</si>
  <si>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</si>
  <si>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</si>
  <si>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</si>
  <si>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</si>
  <si>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</si>
  <si>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</si>
  <si>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</si>
  <si>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</si>
  <si>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</si>
  <si>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</si>
  <si>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</si>
  <si>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</si>
  <si>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</si>
  <si>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</si>
  <si>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</si>
  <si>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</si>
  <si>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</si>
  <si>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</si>
  <si>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</si>
  <si>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</si>
  <si>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</si>
  <si>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</si>
  <si>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</si>
  <si>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</si>
  <si>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</si>
  <si>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</si>
  <si>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</si>
  <si>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</si>
  <si>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</si>
  <si>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</si>
  <si>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</si>
  <si>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</si>
  <si>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</si>
  <si>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</si>
  <si>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</si>
  <si>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</si>
  <si>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</si>
  <si>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</si>
  <si>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</si>
  <si>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(4yr)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</si>
  <si>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</si>
  <si>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</si>
  <si>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</si>
  <si>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</si>
  <si>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</si>
  <si>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</si>
  <si>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</si>
  <si>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</si>
  <si>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</si>
  <si>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</si>
  <si>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</si>
  <si>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</si>
  <si>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</si>
  <si>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</si>
  <si>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</si>
  <si>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</si>
  <si>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</si>
  <si>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</si>
  <si>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</si>
  <si>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</si>
  <si>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</si>
  <si>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</si>
  <si>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</si>
  <si>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</si>
  <si>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</si>
  <si>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</si>
  <si>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</si>
  <si>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</si>
  <si>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</si>
  <si>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</si>
  <si>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</si>
  <si>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</si>
  <si>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</si>
  <si>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</si>
  <si>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</si>
  <si>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</si>
  <si>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t>
  </si>
  <si>
    <t>Forward P/S</t>
  </si>
  <si>
    <t>Forward P/E</t>
  </si>
  <si>
    <t>Forward P/FCF</t>
  </si>
  <si>
    <t>Unlevered FCF</t>
  </si>
  <si>
    <t>Levered FCF Growth YoY</t>
  </si>
  <si>
    <t>Levered FCF</t>
  </si>
  <si>
    <t>Unlevered FCF Proj</t>
  </si>
  <si>
    <t>Unlevered FCF Forecast</t>
  </si>
  <si>
    <t>Shares (5% dilution)</t>
  </si>
  <si>
    <t>Dividend Yield</t>
  </si>
  <si>
    <t>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</si>
</sst>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0">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4" borderId="0" xfId="0" applyNumberFormat="1" applyFont="1" applyFill="1"/>
    <xf numFmtId="0" fontId="0" fillId="4" borderId="0" xfId="0" applyFill="1"/>
    <xf numFmtId="0" fontId="0" fillId="4" borderId="0" xfId="0" applyFill="1" applyAlignment="1">
      <alignment horizontal="left"/>
    </xf>
    <xf numFmtId="164" fontId="13" fillId="0" borderId="2" xfId="0" applyNumberFormat="1" applyFont="1" applyBorder="1"/>
    <xf numFmtId="165" fontId="10" fillId="0" borderId="0" xfId="0" applyNumberFormat="1" applyFont="1"/>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69" fontId="11" fillId="0" borderId="8" xfId="0" applyNumberFormat="1" applyFont="1" applyBorder="1" applyAlignment="1">
      <alignment horizontal="center"/>
    </xf>
    <xf numFmtId="169" fontId="11" fillId="0" borderId="6" xfId="0" applyNumberFormat="1" applyFont="1" applyBorder="1" applyAlignment="1">
      <alignment horizontal="center"/>
    </xf>
    <xf numFmtId="164" fontId="10" fillId="7" borderId="0" xfId="0" applyNumberFormat="1" applyFont="1" applyFill="1"/>
    <xf numFmtId="164" fontId="1" fillId="7" borderId="0" xfId="0" applyNumberFormat="1" applyFont="1" applyFill="1"/>
    <xf numFmtId="164" fontId="13" fillId="0" borderId="3" xfId="0" applyNumberFormat="1" applyFont="1" applyBorder="1"/>
    <xf numFmtId="166" fontId="10" fillId="0" borderId="0" xfId="0" applyNumberFormat="1" applyFont="1"/>
    <xf numFmtId="0" fontId="1" fillId="0" borderId="0" xfId="0" applyFont="1" applyAlignment="1">
      <alignment indent="1"/>
    </xf>
    <xf numFmtId="170" fontId="11" fillId="0" borderId="5" xfId="0" applyNumberFormat="1" applyFont="1" applyBorder="1" applyAlignment="1">
      <alignment horizontal="center"/>
    </xf>
    <xf numFmtId="170" fontId="11" fillId="0" borderId="8" xfId="0" applyNumberFormat="1" applyFont="1" applyBorder="1" applyAlignment="1">
      <alignment horizontal="center"/>
    </xf>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39" fontId="11" fillId="4" borderId="0" xfId="0" applyNumberFormat="1" applyFont="1" applyFill="1"/>
    <xf numFmtId="164" fontId="1" fillId="4"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4" borderId="0" xfId="0" applyNumberFormat="1" applyFont="1" applyFill="1" applyAlignment="1">
      <alignment wrapText="1"/>
    </xf>
    <xf numFmtId="10" fontId="1" fillId="4" borderId="0" xfId="0" applyNumberFormat="1" applyFont="1" applyFill="1" applyAlignment="1">
      <alignment horizontal="right" vertical="center"/>
    </xf>
    <xf numFmtId="0" fontId="16" fillId="7" borderId="0" xfId="0" applyFont="1" applyFill="1" applyAlignment="1">
      <alignment wrapText="1"/>
    </xf>
    <xf numFmtId="10" fontId="1" fillId="7" borderId="0" xfId="0" applyNumberFormat="1" applyFont="1" applyFill="1" applyAlignment="1">
      <alignment horizontal="right" vertical="center"/>
    </xf>
    <xf numFmtId="0" fontId="16" fillId="4" borderId="0" xfId="0" applyFont="1" applyFill="1"/>
    <xf numFmtId="164" fontId="1" fillId="4" borderId="0" xfId="0" applyNumberFormat="1" applyFont="1" applyFill="1" applyAlignment="1">
      <alignment wrapText="1"/>
    </xf>
    <xf numFmtId="164" fontId="1" fillId="5" borderId="0" xfId="0" applyNumberFormat="1" applyFont="1" applyFill="1" applyAlignment="1">
      <alignment wrapText="1"/>
    </xf>
    <xf numFmtId="168" fontId="12" fillId="5" borderId="0" xfId="0" applyNumberFormat="1" applyFont="1" applyFill="1"/>
    <xf numFmtId="167" fontId="1" fillId="4" borderId="0" xfId="0" applyNumberFormat="1" applyFont="1" applyFill="1"/>
    <xf numFmtId="9" fontId="12" fillId="5" borderId="0" xfId="1" applyFont="1" applyFill="1" applyBorder="1"/>
    <xf numFmtId="0" fontId="12" fillId="5" borderId="0" xfId="0" applyFont="1" applyFill="1" applyAlignment="1">
      <alignment horizontal="right"/>
    </xf>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Confluent</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996642155267776E-2"/>
          <c:y val="0.14547301406968907"/>
          <c:w val="0.86778848181167423"/>
          <c:h val="0.73389282707049819"/>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1'!$B$3:$E$3</c:f>
              <c:numCache>
                <c:formatCode>#,###,,;\(#,###,,\);\ \-\ \-</c:formatCode>
                <c:ptCount val="4"/>
                <c:pt idx="0">
                  <c:v>149805000</c:v>
                </c:pt>
                <c:pt idx="1">
                  <c:v>236577000</c:v>
                </c:pt>
                <c:pt idx="2">
                  <c:v>387864000</c:v>
                </c:pt>
                <c:pt idx="3">
                  <c:v>585944000</c:v>
                </c:pt>
              </c:numCache>
            </c:numRef>
          </c:val>
          <c:extLst>
            <c:ext xmlns:c16="http://schemas.microsoft.com/office/drawing/2014/chart" uri="{C3380CC4-5D6E-409C-BE32-E72D297353CC}">
              <c16:uniqueId val="{00000000-5776-2E4C-8489-CB860D659830}"/>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1'!$B$19:$E$19</c:f>
              <c:numCache>
                <c:formatCode>#,###,,;\(#,###,,\);\ \-\ \-</c:formatCode>
                <c:ptCount val="4"/>
                <c:pt idx="0">
                  <c:v>-93845000</c:v>
                </c:pt>
                <c:pt idx="1">
                  <c:v>-228468000</c:v>
                </c:pt>
                <c:pt idx="2">
                  <c:v>-335995000</c:v>
                </c:pt>
                <c:pt idx="3">
                  <c:v>-447529000</c:v>
                </c:pt>
              </c:numCache>
            </c:numRef>
          </c:val>
          <c:extLst>
            <c:ext xmlns:c16="http://schemas.microsoft.com/office/drawing/2014/chart" uri="{C3380CC4-5D6E-409C-BE32-E72D297353CC}">
              <c16:uniqueId val="{00000001-5776-2E4C-8489-CB860D65983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1'!$B$107:$E$107</c:f>
              <c:numCache>
                <c:formatCode>#,###,,;\(#,###,,\);\ \-\ \-</c:formatCode>
                <c:ptCount val="4"/>
                <c:pt idx="0">
                  <c:v>-71763000</c:v>
                </c:pt>
                <c:pt idx="1">
                  <c:v>-86707000</c:v>
                </c:pt>
                <c:pt idx="2">
                  <c:v>-114002000</c:v>
                </c:pt>
                <c:pt idx="3">
                  <c:v>-171788000</c:v>
                </c:pt>
              </c:numCache>
            </c:numRef>
          </c:val>
          <c:extLst>
            <c:ext xmlns:c16="http://schemas.microsoft.com/office/drawing/2014/chart" uri="{C3380CC4-5D6E-409C-BE32-E72D297353CC}">
              <c16:uniqueId val="{00000002-5776-2E4C-8489-CB860D659830}"/>
            </c:ext>
          </c:extLst>
        </c:ser>
        <c:dLbls>
          <c:showLegendKey val="0"/>
          <c:showVal val="0"/>
          <c:showCatName val="0"/>
          <c:showSerName val="0"/>
          <c:showPercent val="0"/>
          <c:showBubbleSize val="0"/>
        </c:dLbls>
        <c:gapWidth val="100"/>
        <c:overlap val="-24"/>
        <c:axId val="1889949440"/>
        <c:axId val="1890327136"/>
      </c:barChart>
      <c:catAx>
        <c:axId val="188994944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90327136"/>
        <c:crosses val="autoZero"/>
        <c:auto val="1"/>
        <c:lblAlgn val="ctr"/>
        <c:lblOffset val="100"/>
        <c:noMultiLvlLbl val="0"/>
      </c:catAx>
      <c:valAx>
        <c:axId val="1890327136"/>
        <c:scaling>
          <c:orientation val="minMax"/>
          <c:min val="-50000000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89949440"/>
        <c:crosses val="autoZero"/>
        <c:crossBetween val="between"/>
      </c:valAx>
      <c:spPr>
        <a:noFill/>
        <a:ln>
          <a:noFill/>
        </a:ln>
        <a:effectLst/>
      </c:spPr>
    </c:plotArea>
    <c:legend>
      <c:legendPos val="b"/>
      <c:layout>
        <c:manualLayout>
          <c:xMode val="edge"/>
          <c:yMode val="edge"/>
          <c:x val="0.34979537970976771"/>
          <c:y val="0.92675920891936903"/>
          <c:w val="0.30305376456042166"/>
          <c:h val="4.4817722222432639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31749</xdr:colOff>
      <xdr:row>108</xdr:row>
      <xdr:rowOff>33338</xdr:rowOff>
    </xdr:from>
    <xdr:to>
      <xdr:col>13</xdr:col>
      <xdr:colOff>15874</xdr:colOff>
      <xdr:row>127</xdr:row>
      <xdr:rowOff>31750</xdr:rowOff>
    </xdr:to>
    <xdr:graphicFrame macro="">
      <xdr:nvGraphicFramePr>
        <xdr:cNvPr id="2" name="Chart 1">
          <a:extLst>
            <a:ext uri="{FF2B5EF4-FFF2-40B4-BE49-F238E27FC236}">
              <a16:creationId xmlns:a16="http://schemas.microsoft.com/office/drawing/2014/main" id="{8D157F6B-7200-5493-B55D-D727D5C5A2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Factor Scoring"/>
      <sheetName val="Factor Investing"/>
      <sheetName val="Concentrated"/>
      <sheetName val="Hardware"/>
      <sheetName val="Software"/>
      <sheetName val="Consumer"/>
      <sheetName val="Financial Services"/>
      <sheetName val="Healthcare"/>
      <sheetName val="Industrials"/>
      <sheetName val="Real Estate"/>
      <sheetName val="Fashion + Beauty"/>
      <sheetName val="Treasuries"/>
      <sheetName val="All Stars"/>
      <sheetName val="ROIC Port"/>
      <sheetName val="To Be Modeled"/>
      <sheetName val="My Holdings"/>
      <sheetName val="Stable Growth"/>
      <sheetName val="High Growth"/>
      <sheetName val="Compounders"/>
      <sheetName val="Small Cap Gems"/>
      <sheetName val="Private Companies"/>
    </sheetNames>
    <sheetDataSet>
      <sheetData sheetId="0"/>
      <sheetData sheetId="1"/>
      <sheetData sheetId="2"/>
      <sheetData sheetId="3"/>
      <sheetData sheetId="4"/>
      <sheetData sheetId="5"/>
      <sheetData sheetId="6"/>
      <sheetData sheetId="7"/>
      <sheetData sheetId="8"/>
      <sheetData sheetId="9"/>
      <sheetData sheetId="10"/>
      <sheetData sheetId="11">
        <row r="8">
          <cell r="C8">
            <v>3.8539999999999998E-2</v>
          </cell>
        </row>
      </sheetData>
      <sheetData sheetId="12"/>
      <sheetData sheetId="13"/>
      <sheetData sheetId="14"/>
      <sheetData sheetId="15"/>
      <sheetData sheetId="16"/>
      <sheetData sheetId="17"/>
      <sheetData sheetId="18"/>
      <sheetData sheetId="19"/>
      <sheetData sheetId="20"/>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https://www.bing.com/financeapi/forcetrigger?t=c2i1cw&amp;q=XNAS%3aCFLT&amp;form=skydnc</v>
    <v>Learn more on Bing</v>
  </rv>
  <rv s="1">
    <v>0</v>
    <v>CONFLUENT, INC. (XNAS:CFLT)</v>
    <v>2</v>
    <v>3</v>
    <v>Finance</v>
    <v>4</v>
    <v>en-US</v>
    <v>c2i1cw</v>
    <v>268435456</v>
    <v>1</v>
    <v>Powered by Refinitiv</v>
    <v>37.51</v>
    <v>16.600000000000001</v>
    <v>2.536</v>
    <v>0.97</v>
    <v>2.8247000000000001E-2</v>
    <v>-0.15</v>
    <v>-4.248E-3</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35.871000000000002</v>
    <v>Software &amp; IT Services</v>
    <v>Stock</v>
    <v>45107.992738657034</v>
    <v>0</v>
    <v>34.78</v>
    <v>10456420920</v>
    <v>CONFLUENT, INC.</v>
    <v>CONFLUENT, INC.</v>
    <v>35.020000000000003</v>
    <v>34.340000000000003</v>
    <v>35.31</v>
    <v>35.159999999999997</v>
    <v>296132000</v>
    <v>CFLT</v>
    <v>CONFLUENT, INC. (XNAS:CFLT)</v>
    <v>3834330</v>
    <v>5330763</v>
    <v>2014</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ec.gov/" TargetMode="External"/><Relationship Id="rId3" Type="http://schemas.openxmlformats.org/officeDocument/2006/relationships/hyperlink" Target="https://sec.gov/" TargetMode="External"/><Relationship Id="rId7" Type="http://schemas.openxmlformats.org/officeDocument/2006/relationships/hyperlink" Target="https://www.sec.gov/Archives/edgar/data/1699838/000095017022002008/0000950170-22-002008-index.htm" TargetMode="External"/><Relationship Id="rId12" Type="http://schemas.openxmlformats.org/officeDocument/2006/relationships/drawing" Target="../drawings/drawing1.xml"/><Relationship Id="rId2" Type="http://schemas.openxmlformats.org/officeDocument/2006/relationships/hyperlink" Target="https://sec.gov/" TargetMode="External"/><Relationship Id="rId1" Type="http://schemas.openxmlformats.org/officeDocument/2006/relationships/hyperlink" Target="https://roic.ai/company/CFLT" TargetMode="External"/><Relationship Id="rId6" Type="http://schemas.openxmlformats.org/officeDocument/2006/relationships/hyperlink" Target="https://www.sec.gov/Archives/edgar/data/1699838/000095017022002008/0000950170-22-002008-index.htm" TargetMode="External"/><Relationship Id="rId11" Type="http://schemas.openxmlformats.org/officeDocument/2006/relationships/hyperlink" Target="https://finbox.com/NASDAQGS:CFLT/explorer/fcf_unlev_proj" TargetMode="External"/><Relationship Id="rId5" Type="http://schemas.openxmlformats.org/officeDocument/2006/relationships/hyperlink" Target="https://sec.gov/" TargetMode="External"/><Relationship Id="rId10" Type="http://schemas.openxmlformats.org/officeDocument/2006/relationships/hyperlink" Target="https://finbox.com/NASDAQGS:CFLT/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C2" activePane="bottomRight" state="frozen"/>
      <selection pane="topRight"/>
      <selection pane="bottomLeft"/>
      <selection pane="bottomRight" activeCell="H14" sqref="H14"/>
    </sheetView>
  </sheetViews>
  <sheetFormatPr baseColWidth="10" defaultRowHeight="16" x14ac:dyDescent="0.2"/>
  <cols>
    <col min="1" max="1" width="50" customWidth="1"/>
    <col min="2" max="5" width="15" customWidth="1"/>
    <col min="6" max="14" width="21" customWidth="1"/>
  </cols>
  <sheetData>
    <row r="1" spans="1:38" ht="22" thickBot="1" x14ac:dyDescent="0.3">
      <c r="A1" s="3" t="e" vm="1">
        <v>#VALUE!</v>
      </c>
      <c r="B1" s="8">
        <v>2019</v>
      </c>
      <c r="C1" s="8">
        <v>2020</v>
      </c>
      <c r="D1" s="8">
        <v>2021</v>
      </c>
      <c r="E1" s="8">
        <v>2022</v>
      </c>
      <c r="F1" s="23">
        <v>2023</v>
      </c>
      <c r="G1" s="23">
        <v>2024</v>
      </c>
      <c r="H1" s="23">
        <v>2025</v>
      </c>
      <c r="I1" s="23">
        <v>2026</v>
      </c>
      <c r="J1" s="23">
        <v>2027</v>
      </c>
    </row>
    <row r="2" spans="1:38" ht="21" x14ac:dyDescent="0.25">
      <c r="A2" s="4" t="s">
        <v>0</v>
      </c>
      <c r="B2" s="9" t="s">
        <v>90</v>
      </c>
      <c r="C2" s="9" t="s">
        <v>90</v>
      </c>
      <c r="D2" s="9" t="s">
        <v>90</v>
      </c>
      <c r="E2" s="9" t="s">
        <v>90</v>
      </c>
      <c r="F2" s="9" t="s">
        <v>90</v>
      </c>
      <c r="G2" s="9" t="s">
        <v>90</v>
      </c>
      <c r="H2" s="9" t="s">
        <v>90</v>
      </c>
      <c r="I2" s="9"/>
      <c r="J2" s="9"/>
      <c r="K2" s="9"/>
      <c r="L2" s="9"/>
      <c r="M2" s="9"/>
      <c r="N2" s="9"/>
    </row>
    <row r="3" spans="1:38" ht="40" x14ac:dyDescent="0.25">
      <c r="A3" s="5" t="s">
        <v>1</v>
      </c>
      <c r="B3" s="1">
        <v>149805000</v>
      </c>
      <c r="C3" s="1">
        <v>236577000</v>
      </c>
      <c r="D3" s="1">
        <v>387864000</v>
      </c>
      <c r="E3" s="1">
        <v>585944000</v>
      </c>
      <c r="F3" s="24">
        <v>762900000</v>
      </c>
      <c r="G3" s="24">
        <v>972000000</v>
      </c>
      <c r="H3" s="24">
        <v>1241000000</v>
      </c>
      <c r="I3" s="24">
        <v>1481000000</v>
      </c>
      <c r="J3" s="24">
        <v>1795000000</v>
      </c>
      <c r="K3" s="19" t="s">
        <v>107</v>
      </c>
      <c r="L3" s="20" t="s">
        <v>108</v>
      </c>
      <c r="M3" s="20" t="s">
        <v>109</v>
      </c>
      <c r="N3" s="20" t="s">
        <v>110</v>
      </c>
    </row>
    <row r="4" spans="1:38" ht="19" x14ac:dyDescent="0.25">
      <c r="A4" s="14" t="s">
        <v>93</v>
      </c>
      <c r="B4" s="1"/>
      <c r="C4" s="15">
        <f>(C3/B3)-1</f>
        <v>0.57923300290377489</v>
      </c>
      <c r="D4" s="15">
        <f>(D3/C3)-1</f>
        <v>0.6394831281147364</v>
      </c>
      <c r="E4" s="15">
        <f>(E3/D3)-1</f>
        <v>0.51069447022667736</v>
      </c>
      <c r="F4" s="16">
        <f t="shared" ref="F4:J4" si="0">(F3/E3)-1</f>
        <v>0.30200155646273363</v>
      </c>
      <c r="G4" s="16">
        <f t="shared" si="0"/>
        <v>0.27408572552103805</v>
      </c>
      <c r="H4" s="16">
        <f t="shared" si="0"/>
        <v>0.27674897119341568</v>
      </c>
      <c r="I4" s="16">
        <f t="shared" si="0"/>
        <v>0.19339242546333613</v>
      </c>
      <c r="J4" s="16">
        <f t="shared" si="0"/>
        <v>0.21201890614449703</v>
      </c>
      <c r="K4" s="17">
        <f>(E4+D4+C4)/3</f>
        <v>0.57647020041506292</v>
      </c>
      <c r="L4" s="17">
        <f>(E20+D20+C20)/3</f>
        <v>0.74570665806692737</v>
      </c>
      <c r="M4" s="17">
        <f>(E29+D29+C29)/3</f>
        <v>0.74329472146449538</v>
      </c>
      <c r="N4" s="17">
        <f>(E106+D106+C106)/3</f>
        <v>0.34330755541335539</v>
      </c>
      <c r="T4" s="16"/>
      <c r="U4" s="16"/>
      <c r="V4" s="16"/>
      <c r="W4" s="16"/>
      <c r="X4" s="16"/>
      <c r="Y4" s="16"/>
      <c r="Z4" s="16"/>
      <c r="AA4" s="16"/>
      <c r="AB4" s="16"/>
      <c r="AC4" s="16"/>
      <c r="AD4" s="16"/>
      <c r="AE4" s="16"/>
      <c r="AF4" s="16"/>
      <c r="AI4" s="18"/>
      <c r="AJ4" s="18"/>
      <c r="AK4" s="18"/>
      <c r="AL4" s="18"/>
    </row>
    <row r="5" spans="1:38" ht="19" x14ac:dyDescent="0.25">
      <c r="A5" s="5" t="s">
        <v>2</v>
      </c>
      <c r="B5" s="1">
        <v>49369000</v>
      </c>
      <c r="C5" s="1">
        <v>75476000</v>
      </c>
      <c r="D5" s="1">
        <v>137292000</v>
      </c>
      <c r="E5" s="1">
        <v>202415000</v>
      </c>
    </row>
    <row r="6" spans="1:38" ht="20" x14ac:dyDescent="0.25">
      <c r="A6" s="6" t="s">
        <v>3</v>
      </c>
      <c r="B6" s="10">
        <v>100436000</v>
      </c>
      <c r="C6" s="10">
        <v>161101000</v>
      </c>
      <c r="D6" s="10">
        <v>250572000</v>
      </c>
      <c r="E6" s="10">
        <v>383529000</v>
      </c>
      <c r="K6" s="19" t="s">
        <v>111</v>
      </c>
      <c r="L6" s="20" t="s">
        <v>112</v>
      </c>
      <c r="M6" s="20" t="s">
        <v>113</v>
      </c>
      <c r="N6" s="20" t="s">
        <v>114</v>
      </c>
    </row>
    <row r="7" spans="1:38" ht="19" x14ac:dyDescent="0.25">
      <c r="A7" s="5" t="s">
        <v>4</v>
      </c>
      <c r="B7" s="2">
        <v>0.6704</v>
      </c>
      <c r="C7" s="2">
        <v>0.68100000000000005</v>
      </c>
      <c r="D7" s="2">
        <v>0.64600000000000002</v>
      </c>
      <c r="E7" s="2">
        <v>0.65449999999999997</v>
      </c>
      <c r="K7" s="17">
        <f>E7</f>
        <v>0.65449999999999997</v>
      </c>
      <c r="L7" s="21">
        <f>E21</f>
        <v>-0.76380000000000003</v>
      </c>
      <c r="M7" s="21">
        <f>E30</f>
        <v>-0.77229999999999999</v>
      </c>
      <c r="N7" s="21">
        <f>E107/E3</f>
        <v>-0.29318160097210655</v>
      </c>
    </row>
    <row r="8" spans="1:38" ht="19" x14ac:dyDescent="0.25">
      <c r="A8" s="5" t="s">
        <v>5</v>
      </c>
      <c r="B8" s="1">
        <v>58090000</v>
      </c>
      <c r="C8" s="1">
        <v>105399000</v>
      </c>
      <c r="D8" s="1">
        <v>161925000</v>
      </c>
      <c r="E8" s="1">
        <v>264041000</v>
      </c>
    </row>
    <row r="9" spans="1:38" ht="19" customHeight="1" x14ac:dyDescent="0.25">
      <c r="A9" s="14" t="s">
        <v>94</v>
      </c>
      <c r="B9" s="15">
        <f>B8/B3</f>
        <v>0.38777076866593235</v>
      </c>
      <c r="C9" s="15">
        <f t="shared" ref="C9:E9" si="1">C8/C3</f>
        <v>0.44551668167235192</v>
      </c>
      <c r="D9" s="15">
        <f t="shared" si="1"/>
        <v>0.41747880700451706</v>
      </c>
      <c r="E9" s="15">
        <f t="shared" si="1"/>
        <v>0.45062497440028398</v>
      </c>
      <c r="F9" s="15"/>
      <c r="G9" s="15"/>
      <c r="K9" s="19" t="s">
        <v>95</v>
      </c>
      <c r="L9" s="20" t="s">
        <v>96</v>
      </c>
      <c r="M9" s="20" t="s">
        <v>97</v>
      </c>
      <c r="N9" s="20" t="s">
        <v>98</v>
      </c>
    </row>
    <row r="10" spans="1:38" ht="19" x14ac:dyDescent="0.25">
      <c r="A10" s="5" t="s">
        <v>6</v>
      </c>
      <c r="B10" s="1">
        <v>24662000</v>
      </c>
      <c r="C10" s="1">
        <v>122516000</v>
      </c>
      <c r="D10" s="1">
        <v>108936000</v>
      </c>
      <c r="E10" s="1">
        <v>125710000</v>
      </c>
      <c r="K10" s="17">
        <f>E9</f>
        <v>0.45062497440028398</v>
      </c>
      <c r="L10" s="21">
        <f>E13</f>
        <v>0.99354545826904961</v>
      </c>
      <c r="M10" s="21">
        <f>E80</f>
        <v>0.47386098330215859</v>
      </c>
      <c r="N10" s="21">
        <f>E89</f>
        <v>7.0330953128626625E-3</v>
      </c>
    </row>
    <row r="11" spans="1:38" ht="19" x14ac:dyDescent="0.25">
      <c r="A11" s="5" t="s">
        <v>7</v>
      </c>
      <c r="B11" s="1">
        <v>115792000</v>
      </c>
      <c r="C11" s="1">
        <v>166361000</v>
      </c>
      <c r="D11" s="1">
        <v>319331000</v>
      </c>
      <c r="E11" s="1">
        <v>456452000</v>
      </c>
    </row>
    <row r="12" spans="1:38" ht="20" x14ac:dyDescent="0.25">
      <c r="A12" s="5" t="s">
        <v>8</v>
      </c>
      <c r="B12" s="1">
        <v>140454000</v>
      </c>
      <c r="C12" s="1">
        <v>288877000</v>
      </c>
      <c r="D12" s="1">
        <v>428267000</v>
      </c>
      <c r="E12" s="1">
        <v>582162000</v>
      </c>
      <c r="H12" t="s">
        <v>156</v>
      </c>
      <c r="K12" s="19" t="s">
        <v>115</v>
      </c>
      <c r="L12" s="20" t="s">
        <v>116</v>
      </c>
      <c r="M12" s="20" t="s">
        <v>117</v>
      </c>
      <c r="N12" s="20" t="s">
        <v>118</v>
      </c>
    </row>
    <row r="13" spans="1:38" ht="19" x14ac:dyDescent="0.25">
      <c r="A13" s="14" t="s">
        <v>99</v>
      </c>
      <c r="B13" s="15">
        <f>B12/B3</f>
        <v>0.93757885250826078</v>
      </c>
      <c r="C13" s="15">
        <f t="shared" ref="C13:E13" si="2">C12/C3</f>
        <v>1.2210696728760615</v>
      </c>
      <c r="D13" s="15">
        <f t="shared" si="2"/>
        <v>1.1041679557783139</v>
      </c>
      <c r="E13" s="15">
        <f t="shared" si="2"/>
        <v>0.99354545826904961</v>
      </c>
      <c r="F13" s="15"/>
      <c r="G13" s="15"/>
      <c r="K13" s="17">
        <f>E28/E72</f>
        <v>-0.58812804021432741</v>
      </c>
      <c r="L13" s="21">
        <f>E28/E54</f>
        <v>-0.19299792865126922</v>
      </c>
      <c r="M13" s="21">
        <f>E22/(E72+E56+E61)</f>
        <v>-0.24525679463638253</v>
      </c>
      <c r="N13" s="34">
        <f>E67/E72</f>
        <v>2.0473282502271024</v>
      </c>
    </row>
    <row r="14" spans="1:38" ht="19" x14ac:dyDescent="0.25">
      <c r="A14" s="5" t="s">
        <v>9</v>
      </c>
      <c r="B14" s="1" t="s">
        <v>91</v>
      </c>
      <c r="C14" s="1" t="s">
        <v>91</v>
      </c>
      <c r="D14" s="1" t="s">
        <v>91</v>
      </c>
      <c r="E14" s="1" t="s">
        <v>91</v>
      </c>
    </row>
    <row r="15" spans="1:38" ht="20" x14ac:dyDescent="0.25">
      <c r="A15" s="5" t="s">
        <v>10</v>
      </c>
      <c r="B15" s="1">
        <v>198544000</v>
      </c>
      <c r="C15" s="1">
        <v>394276000</v>
      </c>
      <c r="D15" s="1">
        <v>590192000</v>
      </c>
      <c r="E15" s="1">
        <v>846203000</v>
      </c>
      <c r="K15" s="19" t="s">
        <v>119</v>
      </c>
      <c r="L15" s="20" t="s">
        <v>120</v>
      </c>
      <c r="M15" s="20" t="s">
        <v>121</v>
      </c>
      <c r="N15" s="20" t="s">
        <v>122</v>
      </c>
    </row>
    <row r="16" spans="1:38" ht="19" x14ac:dyDescent="0.25">
      <c r="A16" s="5" t="s">
        <v>11</v>
      </c>
      <c r="B16" s="1">
        <v>247913000</v>
      </c>
      <c r="C16" s="1">
        <v>469752000</v>
      </c>
      <c r="D16" s="1">
        <v>727484000</v>
      </c>
      <c r="E16" s="1">
        <v>1048618000</v>
      </c>
      <c r="K16" s="25">
        <f>(E35+D35+C35+B35)/4</f>
        <v>7.994672062666941E-2</v>
      </c>
      <c r="L16" s="32">
        <f>M101/E3</f>
        <v>17.84542707152902</v>
      </c>
      <c r="M16" s="32">
        <f>M101/E28</f>
        <v>-23.105508373641864</v>
      </c>
      <c r="N16" s="33">
        <f>M101/E107</f>
        <v>-60.868168440170443</v>
      </c>
    </row>
    <row r="17" spans="1:14" ht="19" x14ac:dyDescent="0.25">
      <c r="A17" s="5" t="s">
        <v>12</v>
      </c>
      <c r="B17" s="1" t="s">
        <v>91</v>
      </c>
      <c r="C17" s="1" t="s">
        <v>91</v>
      </c>
      <c r="D17" s="1" t="s">
        <v>91</v>
      </c>
      <c r="E17" s="1">
        <v>0</v>
      </c>
    </row>
    <row r="18" spans="1:14" ht="20" x14ac:dyDescent="0.25">
      <c r="A18" s="5" t="s">
        <v>13</v>
      </c>
      <c r="B18" s="1">
        <v>1202000</v>
      </c>
      <c r="C18" s="1">
        <v>1567000</v>
      </c>
      <c r="D18" s="1">
        <v>3632000</v>
      </c>
      <c r="E18" s="1">
        <v>-1271000</v>
      </c>
      <c r="K18" s="19" t="s">
        <v>123</v>
      </c>
      <c r="L18" s="20" t="s">
        <v>157</v>
      </c>
      <c r="M18" s="20" t="s">
        <v>158</v>
      </c>
      <c r="N18" s="20" t="s">
        <v>159</v>
      </c>
    </row>
    <row r="19" spans="1:14" ht="19" x14ac:dyDescent="0.25">
      <c r="A19" s="6" t="s">
        <v>14</v>
      </c>
      <c r="B19" s="10">
        <v>-93845000</v>
      </c>
      <c r="C19" s="10">
        <v>-228468000</v>
      </c>
      <c r="D19" s="10">
        <v>-335995000</v>
      </c>
      <c r="E19" s="10">
        <v>-447529000</v>
      </c>
      <c r="F19" s="30">
        <v>-89920000</v>
      </c>
      <c r="G19" s="30">
        <v>23100000</v>
      </c>
      <c r="H19" s="30">
        <v>90176000</v>
      </c>
      <c r="I19" s="30">
        <v>181700000</v>
      </c>
      <c r="J19" s="30">
        <v>309900000</v>
      </c>
      <c r="K19" s="26">
        <f>E40-E56-E61</f>
        <v>809814000</v>
      </c>
      <c r="L19" s="32">
        <f>M101/F3</f>
        <v>13.706148800629178</v>
      </c>
      <c r="M19" s="35">
        <f>M101/F28</f>
        <v>-206.35907955240671</v>
      </c>
      <c r="N19" s="33">
        <f>M101/F105</f>
        <v>-23.436246457592642</v>
      </c>
    </row>
    <row r="20" spans="1:14" ht="19" customHeight="1" x14ac:dyDescent="0.25">
      <c r="A20" s="14" t="s">
        <v>100</v>
      </c>
      <c r="B20" s="1"/>
      <c r="C20" s="15">
        <f>(C19/B19)-1</f>
        <v>1.4345250146518196</v>
      </c>
      <c r="D20" s="15">
        <f>(D19/C19)-1</f>
        <v>0.4706435912250293</v>
      </c>
      <c r="E20" s="15">
        <f>(E19/D19)-1</f>
        <v>0.33195136832393346</v>
      </c>
      <c r="F20" s="16">
        <f t="shared" ref="F20:J20" si="3">(F19/E19)-1</f>
        <v>-0.79907447338608217</v>
      </c>
      <c r="G20" s="16">
        <f t="shared" si="3"/>
        <v>-1.2568950177935942</v>
      </c>
      <c r="H20" s="16">
        <f t="shared" si="3"/>
        <v>2.9037229437229439</v>
      </c>
      <c r="I20" s="16">
        <f t="shared" si="3"/>
        <v>1.0149485450674236</v>
      </c>
      <c r="J20" s="16">
        <f t="shared" si="3"/>
        <v>0.70555861309851409</v>
      </c>
    </row>
    <row r="21" spans="1:14" ht="20" x14ac:dyDescent="0.25">
      <c r="A21" s="5" t="s">
        <v>15</v>
      </c>
      <c r="B21" s="2">
        <v>-0.62639999999999996</v>
      </c>
      <c r="C21" s="2">
        <v>-0.9657</v>
      </c>
      <c r="D21" s="2">
        <v>-0.86629999999999996</v>
      </c>
      <c r="E21" s="2">
        <v>-0.76380000000000003</v>
      </c>
      <c r="F21" s="31">
        <f>F19/F3</f>
        <v>-0.11786603748853061</v>
      </c>
      <c r="G21" s="31">
        <f t="shared" ref="G21:J21" si="4">G19/G3</f>
        <v>2.3765432098765433E-2</v>
      </c>
      <c r="H21" s="31">
        <f t="shared" si="4"/>
        <v>7.2663980660757452E-2</v>
      </c>
      <c r="I21" s="31">
        <f t="shared" si="4"/>
        <v>0.12268737339635381</v>
      </c>
      <c r="J21" s="31">
        <f t="shared" si="4"/>
        <v>0.17264623955431754</v>
      </c>
      <c r="M21" s="19" t="s">
        <v>166</v>
      </c>
      <c r="N21" s="20" t="s">
        <v>167</v>
      </c>
    </row>
    <row r="22" spans="1:14" ht="19" x14ac:dyDescent="0.25">
      <c r="A22" s="6" t="s">
        <v>16</v>
      </c>
      <c r="B22" s="10">
        <v>-98108000</v>
      </c>
      <c r="C22" s="10">
        <v>-233175000</v>
      </c>
      <c r="D22" s="10">
        <v>-339620000</v>
      </c>
      <c r="E22" s="10">
        <v>-462674000</v>
      </c>
      <c r="M22" s="41">
        <f>(-1*E98)/M101</f>
        <v>0</v>
      </c>
      <c r="N22" s="42">
        <f>E107/M101</f>
        <v>-1.6428948424543722E-2</v>
      </c>
    </row>
    <row r="23" spans="1:14" ht="19" x14ac:dyDescent="0.25">
      <c r="A23" s="5" t="s">
        <v>17</v>
      </c>
      <c r="B23" s="2">
        <v>-0.65490000000000004</v>
      </c>
      <c r="C23" s="2">
        <v>-0.98560000000000003</v>
      </c>
      <c r="D23" s="2">
        <v>-0.87560000000000004</v>
      </c>
      <c r="E23" s="2">
        <v>-0.78959999999999997</v>
      </c>
    </row>
    <row r="24" spans="1:14" ht="19" x14ac:dyDescent="0.25">
      <c r="A24" s="5" t="s">
        <v>18</v>
      </c>
      <c r="B24" s="1">
        <v>3061000</v>
      </c>
      <c r="C24" s="1">
        <v>3140000</v>
      </c>
      <c r="D24" s="1">
        <v>-7000</v>
      </c>
      <c r="E24" s="1">
        <v>16416000</v>
      </c>
    </row>
    <row r="25" spans="1:14" ht="19" x14ac:dyDescent="0.25">
      <c r="A25" s="6" t="s">
        <v>19</v>
      </c>
      <c r="B25" s="10">
        <v>-95047000</v>
      </c>
      <c r="C25" s="10">
        <v>-230035000</v>
      </c>
      <c r="D25" s="10">
        <v>-339627000</v>
      </c>
      <c r="E25" s="10">
        <v>-446258000</v>
      </c>
    </row>
    <row r="26" spans="1:14" ht="19" x14ac:dyDescent="0.25">
      <c r="A26" s="5" t="s">
        <v>20</v>
      </c>
      <c r="B26" s="2">
        <v>-0.63449999999999995</v>
      </c>
      <c r="C26" s="2">
        <v>-0.97230000000000005</v>
      </c>
      <c r="D26" s="2">
        <v>-0.87560000000000004</v>
      </c>
      <c r="E26" s="2">
        <v>-0.76160000000000005</v>
      </c>
    </row>
    <row r="27" spans="1:14" ht="19" x14ac:dyDescent="0.25">
      <c r="A27" s="5" t="s">
        <v>21</v>
      </c>
      <c r="B27" s="1">
        <v>-5000</v>
      </c>
      <c r="C27" s="1">
        <v>-207000</v>
      </c>
      <c r="D27" s="1">
        <v>3174000</v>
      </c>
      <c r="E27" s="1">
        <v>6293000</v>
      </c>
    </row>
    <row r="28" spans="1:14" ht="20" thickBot="1" x14ac:dyDescent="0.3">
      <c r="A28" s="7" t="s">
        <v>22</v>
      </c>
      <c r="B28" s="11">
        <v>-95042000</v>
      </c>
      <c r="C28" s="11">
        <v>-229828000</v>
      </c>
      <c r="D28" s="11">
        <v>-342801000</v>
      </c>
      <c r="E28" s="11">
        <v>-452551000</v>
      </c>
      <c r="F28" s="38">
        <v>-50671000</v>
      </c>
      <c r="G28" s="38">
        <v>46291000</v>
      </c>
      <c r="H28" s="38">
        <v>98118000</v>
      </c>
      <c r="I28" s="38">
        <v>105800000</v>
      </c>
      <c r="J28" s="38">
        <v>196000000</v>
      </c>
    </row>
    <row r="29" spans="1:14" ht="20" customHeight="1" thickTop="1" x14ac:dyDescent="0.25">
      <c r="A29" s="14" t="s">
        <v>101</v>
      </c>
      <c r="B29" s="1"/>
      <c r="C29" s="15">
        <f>(C28/B28)-1</f>
        <v>1.4181730182445658</v>
      </c>
      <c r="D29" s="15">
        <f>(D28/C28)-1</f>
        <v>0.49155455384026325</v>
      </c>
      <c r="E29" s="15">
        <f>(E28/D28)-1</f>
        <v>0.32015659230865712</v>
      </c>
      <c r="F29" s="16">
        <f t="shared" ref="F29:J29" si="5">(F28/E28)-1</f>
        <v>-0.88803250904317965</v>
      </c>
      <c r="G29" s="16">
        <f t="shared" si="5"/>
        <v>-1.9135600244715913</v>
      </c>
      <c r="H29" s="16">
        <f t="shared" si="5"/>
        <v>1.1195912812425743</v>
      </c>
      <c r="I29" s="16">
        <f t="shared" si="5"/>
        <v>7.8293483356774551E-2</v>
      </c>
      <c r="J29" s="16">
        <f t="shared" si="5"/>
        <v>0.85255198487712658</v>
      </c>
    </row>
    <row r="30" spans="1:14" ht="19" x14ac:dyDescent="0.25">
      <c r="A30" s="5" t="s">
        <v>23</v>
      </c>
      <c r="B30" s="2">
        <v>-0.63439999999999996</v>
      </c>
      <c r="C30" s="2">
        <v>-0.97150000000000003</v>
      </c>
      <c r="D30" s="2">
        <v>-0.88380000000000003</v>
      </c>
      <c r="E30" s="2">
        <v>-0.77229999999999999</v>
      </c>
      <c r="F30" s="31">
        <f>F28/F3</f>
        <v>-6.6418927775593134E-2</v>
      </c>
      <c r="G30" s="31">
        <f t="shared" ref="G30:J30" si="6">G28/G3</f>
        <v>4.7624485596707816E-2</v>
      </c>
      <c r="H30" s="31">
        <f t="shared" si="6"/>
        <v>7.9063658340048346E-2</v>
      </c>
      <c r="I30" s="31">
        <f t="shared" si="6"/>
        <v>7.1438217420661712E-2</v>
      </c>
      <c r="J30" s="31">
        <f t="shared" si="6"/>
        <v>0.10919220055710306</v>
      </c>
    </row>
    <row r="31" spans="1:14" ht="19" x14ac:dyDescent="0.25">
      <c r="A31" s="5" t="s">
        <v>24</v>
      </c>
      <c r="B31" s="12">
        <v>-0.42</v>
      </c>
      <c r="C31" s="12">
        <v>-1.1399999999999999</v>
      </c>
      <c r="D31" s="12">
        <v>-1.82</v>
      </c>
      <c r="E31" s="12">
        <v>-1.62</v>
      </c>
      <c r="F31" s="39">
        <v>-0.17</v>
      </c>
      <c r="G31" s="39">
        <v>0.16</v>
      </c>
      <c r="H31" s="39">
        <v>0.33</v>
      </c>
      <c r="I31" s="39">
        <v>0.36</v>
      </c>
      <c r="J31" s="39">
        <v>0.66</v>
      </c>
    </row>
    <row r="32" spans="1:14" ht="19" x14ac:dyDescent="0.25">
      <c r="A32" s="5" t="s">
        <v>25</v>
      </c>
      <c r="B32" s="12">
        <v>-0.42</v>
      </c>
      <c r="C32" s="12">
        <v>-1.1399999999999999</v>
      </c>
      <c r="D32" s="12">
        <v>-1.82</v>
      </c>
      <c r="E32" s="12">
        <v>-1.62</v>
      </c>
    </row>
    <row r="33" spans="1:5" ht="19" x14ac:dyDescent="0.25">
      <c r="A33" s="5" t="s">
        <v>26</v>
      </c>
      <c r="B33" s="1">
        <v>224261477</v>
      </c>
      <c r="C33" s="1">
        <v>211512902</v>
      </c>
      <c r="D33" s="1">
        <v>188627720</v>
      </c>
      <c r="E33" s="1">
        <v>280080357</v>
      </c>
    </row>
    <row r="34" spans="1:5" ht="19" x14ac:dyDescent="0.25">
      <c r="A34" s="5" t="s">
        <v>27</v>
      </c>
      <c r="B34" s="1">
        <v>224261477</v>
      </c>
      <c r="C34" s="1">
        <v>211512902</v>
      </c>
      <c r="D34" s="1">
        <v>188627720</v>
      </c>
      <c r="E34" s="1">
        <v>280080357</v>
      </c>
    </row>
    <row r="35" spans="1:5" ht="20" customHeight="1" x14ac:dyDescent="0.25">
      <c r="A35" s="14" t="s">
        <v>102</v>
      </c>
      <c r="B35" s="1"/>
      <c r="C35" s="22">
        <f>(C34-B34)/B34</f>
        <v>-5.6846923379533433E-2</v>
      </c>
      <c r="D35" s="22">
        <f t="shared" ref="D35:E35" si="7">(D34-C34)/C34</f>
        <v>-0.10819756990521552</v>
      </c>
      <c r="E35" s="22">
        <f t="shared" si="7"/>
        <v>0.4848313757914266</v>
      </c>
    </row>
    <row r="36" spans="1:5" ht="19" x14ac:dyDescent="0.25">
      <c r="A36" s="5" t="s">
        <v>28</v>
      </c>
      <c r="B36" s="13" t="s">
        <v>92</v>
      </c>
      <c r="C36" s="13" t="s">
        <v>92</v>
      </c>
      <c r="D36" s="13" t="s">
        <v>92</v>
      </c>
      <c r="E36" s="13" t="s">
        <v>92</v>
      </c>
    </row>
    <row r="37" spans="1:5" ht="21" x14ac:dyDescent="0.25">
      <c r="A37" s="4" t="s">
        <v>29</v>
      </c>
      <c r="B37" s="9" t="s">
        <v>90</v>
      </c>
      <c r="C37" s="9" t="s">
        <v>90</v>
      </c>
      <c r="D37" s="9" t="s">
        <v>90</v>
      </c>
      <c r="E37" s="9" t="s">
        <v>90</v>
      </c>
    </row>
    <row r="38" spans="1:5" ht="19" x14ac:dyDescent="0.25">
      <c r="A38" s="5" t="s">
        <v>30</v>
      </c>
      <c r="B38" s="1">
        <v>18954000</v>
      </c>
      <c r="C38" s="1">
        <v>36789000</v>
      </c>
      <c r="D38" s="1">
        <v>1375932000</v>
      </c>
      <c r="E38" s="1">
        <v>435781000</v>
      </c>
    </row>
    <row r="39" spans="1:5" ht="19" x14ac:dyDescent="0.25">
      <c r="A39" s="5" t="s">
        <v>31</v>
      </c>
      <c r="B39" s="1">
        <v>80819000</v>
      </c>
      <c r="C39" s="1">
        <v>251756000</v>
      </c>
      <c r="D39" s="1">
        <v>640085000</v>
      </c>
      <c r="E39" s="1">
        <v>1491044000</v>
      </c>
    </row>
    <row r="40" spans="1:5" ht="19" x14ac:dyDescent="0.25">
      <c r="A40" s="5" t="s">
        <v>32</v>
      </c>
      <c r="B40" s="1">
        <v>99773000</v>
      </c>
      <c r="C40" s="1">
        <v>288545000</v>
      </c>
      <c r="D40" s="1">
        <v>2016017000</v>
      </c>
      <c r="E40" s="1">
        <v>1926825000</v>
      </c>
    </row>
    <row r="41" spans="1:5" ht="19" x14ac:dyDescent="0.25">
      <c r="A41" s="5" t="s">
        <v>33</v>
      </c>
      <c r="B41" s="1">
        <v>67779000</v>
      </c>
      <c r="C41" s="1">
        <v>110956000</v>
      </c>
      <c r="D41" s="1">
        <v>137491000</v>
      </c>
      <c r="E41" s="1">
        <v>178188000</v>
      </c>
    </row>
    <row r="42" spans="1:5" ht="19" x14ac:dyDescent="0.25">
      <c r="A42" s="5" t="s">
        <v>34</v>
      </c>
      <c r="B42" s="1" t="s">
        <v>91</v>
      </c>
      <c r="C42" s="1" t="s">
        <v>91</v>
      </c>
      <c r="D42" s="1" t="s">
        <v>91</v>
      </c>
      <c r="E42" s="1" t="s">
        <v>91</v>
      </c>
    </row>
    <row r="43" spans="1:5" ht="19" x14ac:dyDescent="0.25">
      <c r="A43" s="5" t="s">
        <v>35</v>
      </c>
      <c r="B43" s="1">
        <v>15513000</v>
      </c>
      <c r="C43" s="1">
        <v>28193000</v>
      </c>
      <c r="D43" s="1">
        <v>72565000</v>
      </c>
      <c r="E43" s="1">
        <v>93112000</v>
      </c>
    </row>
    <row r="44" spans="1:5" ht="19" x14ac:dyDescent="0.25">
      <c r="A44" s="6" t="s">
        <v>36</v>
      </c>
      <c r="B44" s="10">
        <v>183065000</v>
      </c>
      <c r="C44" s="10">
        <v>427694000</v>
      </c>
      <c r="D44" s="10">
        <v>2226073000</v>
      </c>
      <c r="E44" s="10">
        <v>2198125000</v>
      </c>
    </row>
    <row r="45" spans="1:5" ht="19" x14ac:dyDescent="0.25">
      <c r="A45" s="5" t="s">
        <v>37</v>
      </c>
      <c r="B45" s="1">
        <v>2871000</v>
      </c>
      <c r="C45" s="1">
        <v>54991000</v>
      </c>
      <c r="D45" s="1">
        <v>51709000</v>
      </c>
      <c r="E45" s="1">
        <v>58567000</v>
      </c>
    </row>
    <row r="46" spans="1:5" ht="19" x14ac:dyDescent="0.25">
      <c r="A46" s="5" t="s">
        <v>38</v>
      </c>
      <c r="B46" s="1" t="s">
        <v>91</v>
      </c>
      <c r="C46" s="1" t="s">
        <v>91</v>
      </c>
      <c r="D46" s="1" t="s">
        <v>91</v>
      </c>
      <c r="E46" s="1" t="s">
        <v>91</v>
      </c>
    </row>
    <row r="47" spans="1:5" ht="19" x14ac:dyDescent="0.25">
      <c r="A47" s="5" t="s">
        <v>39</v>
      </c>
      <c r="B47" s="1" t="s">
        <v>91</v>
      </c>
      <c r="C47" s="1" t="s">
        <v>91</v>
      </c>
      <c r="D47" s="1" t="s">
        <v>91</v>
      </c>
      <c r="E47" s="1" t="s">
        <v>91</v>
      </c>
    </row>
    <row r="48" spans="1:5" ht="19" x14ac:dyDescent="0.25">
      <c r="A48" s="5" t="s">
        <v>40</v>
      </c>
      <c r="B48" s="1" t="s">
        <v>91</v>
      </c>
      <c r="C48" s="1" t="s">
        <v>91</v>
      </c>
      <c r="D48" s="1" t="s">
        <v>91</v>
      </c>
      <c r="E48" s="1" t="s">
        <v>91</v>
      </c>
    </row>
    <row r="49" spans="1:5" ht="19" x14ac:dyDescent="0.25">
      <c r="A49" s="5" t="s">
        <v>41</v>
      </c>
      <c r="B49" s="1" t="s">
        <v>91</v>
      </c>
      <c r="C49" s="1" t="s">
        <v>91</v>
      </c>
      <c r="D49" s="1" t="s">
        <v>91</v>
      </c>
      <c r="E49" s="1" t="s">
        <v>91</v>
      </c>
    </row>
    <row r="50" spans="1:5" ht="19" x14ac:dyDescent="0.25">
      <c r="A50" s="5" t="s">
        <v>42</v>
      </c>
      <c r="B50" s="1" t="s">
        <v>91</v>
      </c>
      <c r="C50" s="1" t="s">
        <v>91</v>
      </c>
      <c r="D50" s="1" t="s">
        <v>91</v>
      </c>
      <c r="E50" s="1" t="s">
        <v>91</v>
      </c>
    </row>
    <row r="51" spans="1:5" ht="19" x14ac:dyDescent="0.25">
      <c r="A51" s="5" t="s">
        <v>43</v>
      </c>
      <c r="B51" s="1">
        <v>20384000</v>
      </c>
      <c r="C51" s="1">
        <v>43434000</v>
      </c>
      <c r="D51" s="1">
        <v>64947000</v>
      </c>
      <c r="E51" s="1">
        <v>88157000</v>
      </c>
    </row>
    <row r="52" spans="1:5" ht="19" x14ac:dyDescent="0.25">
      <c r="A52" s="5" t="s">
        <v>44</v>
      </c>
      <c r="B52" s="1">
        <v>23255000</v>
      </c>
      <c r="C52" s="1">
        <v>98425000</v>
      </c>
      <c r="D52" s="1">
        <v>116656000</v>
      </c>
      <c r="E52" s="1">
        <v>146724000</v>
      </c>
    </row>
    <row r="53" spans="1:5" ht="19" x14ac:dyDescent="0.25">
      <c r="A53" s="5" t="s">
        <v>45</v>
      </c>
      <c r="B53" s="1" t="s">
        <v>91</v>
      </c>
      <c r="C53" s="1" t="s">
        <v>91</v>
      </c>
      <c r="D53" s="1" t="s">
        <v>91</v>
      </c>
      <c r="E53" s="1" t="s">
        <v>91</v>
      </c>
    </row>
    <row r="54" spans="1:5" ht="20" thickBot="1" x14ac:dyDescent="0.3">
      <c r="A54" s="7" t="s">
        <v>46</v>
      </c>
      <c r="B54" s="11">
        <v>206320000</v>
      </c>
      <c r="C54" s="11">
        <v>526119000</v>
      </c>
      <c r="D54" s="11">
        <v>2342729000</v>
      </c>
      <c r="E54" s="11">
        <v>2344849000</v>
      </c>
    </row>
    <row r="55" spans="1:5" ht="20" thickTop="1" x14ac:dyDescent="0.25">
      <c r="A55" s="5" t="s">
        <v>47</v>
      </c>
      <c r="B55" s="1">
        <v>1771000</v>
      </c>
      <c r="C55" s="1">
        <v>1646000</v>
      </c>
      <c r="D55" s="1">
        <v>7591000</v>
      </c>
      <c r="E55" s="1">
        <v>21439000</v>
      </c>
    </row>
    <row r="56" spans="1:5" ht="19" x14ac:dyDescent="0.25">
      <c r="A56" s="5" t="s">
        <v>48</v>
      </c>
      <c r="B56" s="1" t="s">
        <v>91</v>
      </c>
      <c r="C56" s="1">
        <v>10492000</v>
      </c>
      <c r="D56" s="1">
        <v>9236000</v>
      </c>
      <c r="E56" s="1">
        <v>7375000</v>
      </c>
    </row>
    <row r="57" spans="1:5" ht="19" x14ac:dyDescent="0.25">
      <c r="A57" s="5" t="s">
        <v>49</v>
      </c>
      <c r="B57" s="1">
        <v>2200000</v>
      </c>
      <c r="C57" s="1">
        <v>6756000</v>
      </c>
      <c r="D57" s="1" t="s">
        <v>91</v>
      </c>
      <c r="E57" s="1" t="s">
        <v>91</v>
      </c>
    </row>
    <row r="58" spans="1:5" ht="19" x14ac:dyDescent="0.25">
      <c r="A58" s="5" t="s">
        <v>50</v>
      </c>
      <c r="B58" s="1">
        <v>84158000</v>
      </c>
      <c r="C58" s="1">
        <v>142901000</v>
      </c>
      <c r="D58" s="1">
        <v>220920000</v>
      </c>
      <c r="E58" s="1">
        <v>290185000</v>
      </c>
    </row>
    <row r="59" spans="1:5" ht="19" x14ac:dyDescent="0.25">
      <c r="A59" s="5" t="s">
        <v>51</v>
      </c>
      <c r="B59" s="1">
        <v>26820000</v>
      </c>
      <c r="C59" s="1">
        <v>32004000</v>
      </c>
      <c r="D59" s="1">
        <v>110441000</v>
      </c>
      <c r="E59" s="1">
        <v>105331000</v>
      </c>
    </row>
    <row r="60" spans="1:5" ht="19" x14ac:dyDescent="0.25">
      <c r="A60" s="6" t="s">
        <v>52</v>
      </c>
      <c r="B60" s="10">
        <v>114949000</v>
      </c>
      <c r="C60" s="10">
        <v>193799000</v>
      </c>
      <c r="D60" s="10">
        <v>348188000</v>
      </c>
      <c r="E60" s="10">
        <v>424330000</v>
      </c>
    </row>
    <row r="61" spans="1:5" ht="19" x14ac:dyDescent="0.25">
      <c r="A61" s="5" t="s">
        <v>53</v>
      </c>
      <c r="B61" s="1" t="s">
        <v>91</v>
      </c>
      <c r="C61" s="1" t="s">
        <v>91</v>
      </c>
      <c r="D61" s="1">
        <v>1112346000</v>
      </c>
      <c r="E61" s="1">
        <v>1109636000</v>
      </c>
    </row>
    <row r="62" spans="1:5" ht="19" x14ac:dyDescent="0.25">
      <c r="A62" s="5" t="s">
        <v>50</v>
      </c>
      <c r="B62" s="1">
        <v>10958000</v>
      </c>
      <c r="C62" s="1">
        <v>16292000</v>
      </c>
      <c r="D62" s="1">
        <v>25557000</v>
      </c>
      <c r="E62" s="1">
        <v>32644000</v>
      </c>
    </row>
    <row r="63" spans="1:5" ht="19" x14ac:dyDescent="0.25">
      <c r="A63" s="5" t="s">
        <v>54</v>
      </c>
      <c r="B63" s="1" t="s">
        <v>91</v>
      </c>
      <c r="C63" s="1" t="s">
        <v>91</v>
      </c>
      <c r="D63" s="1" t="s">
        <v>91</v>
      </c>
      <c r="E63" s="1" t="s">
        <v>91</v>
      </c>
    </row>
    <row r="64" spans="1:5" ht="19" x14ac:dyDescent="0.25">
      <c r="A64" s="5" t="s">
        <v>55</v>
      </c>
      <c r="B64" s="1">
        <v>211178000</v>
      </c>
      <c r="C64" s="1">
        <v>622277000</v>
      </c>
      <c r="D64" s="1">
        <v>6357000</v>
      </c>
      <c r="E64" s="1">
        <v>8762000</v>
      </c>
    </row>
    <row r="65" spans="1:5" ht="19" x14ac:dyDescent="0.25">
      <c r="A65" s="5" t="s">
        <v>56</v>
      </c>
      <c r="B65" s="1">
        <v>222136000</v>
      </c>
      <c r="C65" s="1">
        <v>638569000</v>
      </c>
      <c r="D65" s="1">
        <v>1144260000</v>
      </c>
      <c r="E65" s="1">
        <v>1151042000</v>
      </c>
    </row>
    <row r="66" spans="1:5" ht="19" x14ac:dyDescent="0.25">
      <c r="A66" s="5" t="s">
        <v>57</v>
      </c>
      <c r="B66" s="1" t="s">
        <v>91</v>
      </c>
      <c r="C66" s="1" t="s">
        <v>91</v>
      </c>
      <c r="D66" s="1" t="s">
        <v>91</v>
      </c>
      <c r="E66" s="1" t="s">
        <v>91</v>
      </c>
    </row>
    <row r="67" spans="1:5" ht="19" x14ac:dyDescent="0.25">
      <c r="A67" s="6" t="s">
        <v>58</v>
      </c>
      <c r="B67" s="10">
        <v>337085000</v>
      </c>
      <c r="C67" s="10">
        <v>832368000</v>
      </c>
      <c r="D67" s="10">
        <v>1492448000</v>
      </c>
      <c r="E67" s="10">
        <v>1575372000</v>
      </c>
    </row>
    <row r="68" spans="1:5" ht="19" x14ac:dyDescent="0.25">
      <c r="A68" s="5" t="s">
        <v>59</v>
      </c>
      <c r="B68" s="1">
        <v>1000</v>
      </c>
      <c r="C68" s="1">
        <v>1000</v>
      </c>
      <c r="D68" s="1">
        <v>3000</v>
      </c>
      <c r="E68" s="1">
        <v>3000</v>
      </c>
    </row>
    <row r="69" spans="1:5" ht="19" x14ac:dyDescent="0.25">
      <c r="A69" s="5" t="s">
        <v>60</v>
      </c>
      <c r="B69" s="1">
        <v>-176225000</v>
      </c>
      <c r="C69" s="1">
        <v>-406053000</v>
      </c>
      <c r="D69" s="1">
        <v>-748854000</v>
      </c>
      <c r="E69" s="1">
        <v>-1201405000</v>
      </c>
    </row>
    <row r="70" spans="1:5" ht="19" x14ac:dyDescent="0.25">
      <c r="A70" s="5" t="s">
        <v>61</v>
      </c>
      <c r="B70" s="1">
        <v>197000</v>
      </c>
      <c r="C70" s="1">
        <v>228000</v>
      </c>
      <c r="D70" s="1">
        <v>-830000</v>
      </c>
      <c r="E70" s="1">
        <v>-9456000</v>
      </c>
    </row>
    <row r="71" spans="1:5" ht="19" x14ac:dyDescent="0.25">
      <c r="A71" s="5" t="s">
        <v>62</v>
      </c>
      <c r="B71" s="1">
        <v>45262000</v>
      </c>
      <c r="C71" s="1">
        <v>99575000</v>
      </c>
      <c r="D71" s="1">
        <v>1599962000</v>
      </c>
      <c r="E71" s="1">
        <v>1980335000</v>
      </c>
    </row>
    <row r="72" spans="1:5" ht="19" x14ac:dyDescent="0.25">
      <c r="A72" s="6" t="s">
        <v>63</v>
      </c>
      <c r="B72" s="10">
        <v>-130765000</v>
      </c>
      <c r="C72" s="10">
        <v>-306249000</v>
      </c>
      <c r="D72" s="10">
        <v>850281000</v>
      </c>
      <c r="E72" s="10">
        <v>769477000</v>
      </c>
    </row>
    <row r="73" spans="1:5" ht="20" thickBot="1" x14ac:dyDescent="0.3">
      <c r="A73" s="7" t="s">
        <v>64</v>
      </c>
      <c r="B73" s="11">
        <v>206320000</v>
      </c>
      <c r="C73" s="11">
        <v>526119000</v>
      </c>
      <c r="D73" s="11">
        <v>2342729000</v>
      </c>
      <c r="E73" s="11">
        <v>2344849000</v>
      </c>
    </row>
    <row r="74" spans="1:5" ht="20" thickTop="1" x14ac:dyDescent="0.25">
      <c r="A74" s="5" t="s">
        <v>28</v>
      </c>
      <c r="B74" s="13" t="s">
        <v>92</v>
      </c>
      <c r="C74" s="13" t="s">
        <v>92</v>
      </c>
      <c r="D74" s="13" t="s">
        <v>92</v>
      </c>
      <c r="E74" s="13" t="s">
        <v>92</v>
      </c>
    </row>
    <row r="75" spans="1:5" ht="21" x14ac:dyDescent="0.25">
      <c r="A75" s="4" t="s">
        <v>65</v>
      </c>
      <c r="B75" s="9" t="s">
        <v>90</v>
      </c>
      <c r="C75" s="9" t="s">
        <v>90</v>
      </c>
      <c r="D75" s="9" t="s">
        <v>90</v>
      </c>
      <c r="E75" s="9" t="s">
        <v>90</v>
      </c>
    </row>
    <row r="76" spans="1:5" ht="19" x14ac:dyDescent="0.25">
      <c r="A76" s="5" t="s">
        <v>66</v>
      </c>
      <c r="B76" s="1">
        <v>-95042000</v>
      </c>
      <c r="C76" s="1">
        <v>-229828000</v>
      </c>
      <c r="D76" s="1">
        <v>-342801000</v>
      </c>
      <c r="E76" s="1">
        <v>-452551000</v>
      </c>
    </row>
    <row r="77" spans="1:5" ht="19" x14ac:dyDescent="0.25">
      <c r="A77" s="5" t="s">
        <v>13</v>
      </c>
      <c r="B77" s="1">
        <v>1202000</v>
      </c>
      <c r="C77" s="1">
        <v>1567000</v>
      </c>
      <c r="D77" s="1">
        <v>3632000</v>
      </c>
      <c r="E77" s="1">
        <v>-1271000</v>
      </c>
    </row>
    <row r="78" spans="1:5" ht="19" x14ac:dyDescent="0.25">
      <c r="A78" s="5" t="s">
        <v>67</v>
      </c>
      <c r="B78" s="1">
        <v>-394000</v>
      </c>
      <c r="C78" s="1">
        <v>-1335000</v>
      </c>
      <c r="D78" s="1">
        <v>1335000</v>
      </c>
      <c r="E78" s="1">
        <v>-237000</v>
      </c>
    </row>
    <row r="79" spans="1:5" ht="19" x14ac:dyDescent="0.25">
      <c r="A79" s="5" t="s">
        <v>68</v>
      </c>
      <c r="B79" s="1">
        <v>18617000</v>
      </c>
      <c r="C79" s="1">
        <v>143341000</v>
      </c>
      <c r="D79" s="1">
        <v>155624000</v>
      </c>
      <c r="E79" s="1">
        <v>277656000</v>
      </c>
    </row>
    <row r="80" spans="1:5" ht="19" x14ac:dyDescent="0.25">
      <c r="A80" s="14" t="s">
        <v>103</v>
      </c>
      <c r="B80" s="15">
        <f t="shared" ref="B80:E80" si="8">B79/B3</f>
        <v>0.12427489069123193</v>
      </c>
      <c r="C80" s="15">
        <f t="shared" si="8"/>
        <v>0.60589575487050729</v>
      </c>
      <c r="D80" s="15">
        <f t="shared" si="8"/>
        <v>0.40123342202421469</v>
      </c>
      <c r="E80" s="15">
        <f t="shared" si="8"/>
        <v>0.47386098330215859</v>
      </c>
    </row>
    <row r="81" spans="1:13" ht="19" x14ac:dyDescent="0.25">
      <c r="A81" s="5" t="s">
        <v>69</v>
      </c>
      <c r="B81" s="1">
        <v>-1616000</v>
      </c>
      <c r="C81" s="1">
        <v>-25746000</v>
      </c>
      <c r="D81" s="1">
        <v>21888000</v>
      </c>
      <c r="E81" s="1">
        <v>19070000</v>
      </c>
    </row>
    <row r="82" spans="1:13" ht="19" x14ac:dyDescent="0.25">
      <c r="A82" s="5" t="s">
        <v>70</v>
      </c>
      <c r="B82" s="1">
        <v>-27117000</v>
      </c>
      <c r="C82" s="1">
        <v>-41612000</v>
      </c>
      <c r="D82" s="1">
        <v>-32516000</v>
      </c>
      <c r="E82" s="1">
        <v>-42080000</v>
      </c>
    </row>
    <row r="83" spans="1:13" ht="21" x14ac:dyDescent="0.25">
      <c r="A83" s="5" t="s">
        <v>34</v>
      </c>
      <c r="B83" s="1" t="s">
        <v>91</v>
      </c>
      <c r="C83" s="1" t="s">
        <v>91</v>
      </c>
      <c r="D83" s="1" t="s">
        <v>91</v>
      </c>
      <c r="E83" s="1" t="s">
        <v>91</v>
      </c>
      <c r="L83" s="65" t="s">
        <v>124</v>
      </c>
      <c r="M83" s="66"/>
    </row>
    <row r="84" spans="1:13" ht="19" x14ac:dyDescent="0.25">
      <c r="A84" s="5" t="s">
        <v>47</v>
      </c>
      <c r="B84" s="1">
        <v>1511000</v>
      </c>
      <c r="C84" s="1">
        <v>-327000</v>
      </c>
      <c r="D84" s="1">
        <v>6143000</v>
      </c>
      <c r="E84" s="1">
        <v>13580000</v>
      </c>
      <c r="L84" s="67" t="s">
        <v>125</v>
      </c>
      <c r="M84" s="67"/>
    </row>
    <row r="85" spans="1:13" ht="20" x14ac:dyDescent="0.25">
      <c r="A85" s="5" t="s">
        <v>71</v>
      </c>
      <c r="B85" s="1">
        <v>21312000</v>
      </c>
      <c r="C85" s="1">
        <v>25948000</v>
      </c>
      <c r="D85" s="1">
        <v>29361000</v>
      </c>
      <c r="E85" s="1" t="s">
        <v>91</v>
      </c>
      <c r="L85" s="43" t="s">
        <v>126</v>
      </c>
      <c r="M85" s="44">
        <f>E17</f>
        <v>0</v>
      </c>
    </row>
    <row r="86" spans="1:13" ht="20" x14ac:dyDescent="0.25">
      <c r="A86" s="5" t="s">
        <v>72</v>
      </c>
      <c r="B86" s="1">
        <v>8399000</v>
      </c>
      <c r="C86" s="1">
        <v>29944000</v>
      </c>
      <c r="D86" s="1">
        <v>55262000</v>
      </c>
      <c r="E86" s="1" t="s">
        <v>91</v>
      </c>
      <c r="L86" s="43" t="s">
        <v>127</v>
      </c>
      <c r="M86" s="44">
        <f>E56</f>
        <v>7375000</v>
      </c>
    </row>
    <row r="87" spans="1:13" ht="20" x14ac:dyDescent="0.25">
      <c r="A87" s="6" t="s">
        <v>73</v>
      </c>
      <c r="B87" s="10">
        <v>-68834000</v>
      </c>
      <c r="C87" s="10">
        <v>-82057000</v>
      </c>
      <c r="D87" s="10">
        <v>-105060000</v>
      </c>
      <c r="E87" s="10">
        <v>-157333000</v>
      </c>
      <c r="L87" s="43" t="s">
        <v>128</v>
      </c>
      <c r="M87" s="44">
        <f>E61</f>
        <v>1109636000</v>
      </c>
    </row>
    <row r="88" spans="1:13" ht="20" x14ac:dyDescent="0.25">
      <c r="A88" s="5" t="s">
        <v>74</v>
      </c>
      <c r="B88" s="1">
        <v>-1954000</v>
      </c>
      <c r="C88" s="1">
        <v>-1040000</v>
      </c>
      <c r="D88" s="1">
        <v>-3600000</v>
      </c>
      <c r="E88" s="1">
        <v>-4121000</v>
      </c>
      <c r="L88" s="45" t="s">
        <v>129</v>
      </c>
      <c r="M88" s="46">
        <f>M85/(M86+M87)</f>
        <v>0</v>
      </c>
    </row>
    <row r="89" spans="1:13" ht="20" customHeight="1" x14ac:dyDescent="0.25">
      <c r="A89" s="14" t="s">
        <v>104</v>
      </c>
      <c r="B89" s="15">
        <f t="shared" ref="B89:E89" si="9">(-1*B88)/B3</f>
        <v>1.3043623377056841E-2</v>
      </c>
      <c r="C89" s="15">
        <f t="shared" si="9"/>
        <v>4.3960317359675706E-3</v>
      </c>
      <c r="D89" s="15">
        <f t="shared" si="9"/>
        <v>9.2816038611472067E-3</v>
      </c>
      <c r="E89" s="15">
        <f t="shared" si="9"/>
        <v>7.0330953128626625E-3</v>
      </c>
      <c r="L89" s="43" t="s">
        <v>105</v>
      </c>
      <c r="M89" s="44">
        <f>E27</f>
        <v>6293000</v>
      </c>
    </row>
    <row r="90" spans="1:13" ht="20" x14ac:dyDescent="0.25">
      <c r="A90" s="5" t="s">
        <v>75</v>
      </c>
      <c r="B90" s="1" t="s">
        <v>91</v>
      </c>
      <c r="C90" s="1" t="s">
        <v>91</v>
      </c>
      <c r="D90" s="1" t="s">
        <v>91</v>
      </c>
      <c r="E90" s="1" t="s">
        <v>91</v>
      </c>
      <c r="L90" s="43" t="s">
        <v>19</v>
      </c>
      <c r="M90" s="44">
        <f>E25</f>
        <v>-446258000</v>
      </c>
    </row>
    <row r="91" spans="1:13" ht="20" x14ac:dyDescent="0.25">
      <c r="A91" s="5" t="s">
        <v>76</v>
      </c>
      <c r="B91" s="1">
        <v>-65978000</v>
      </c>
      <c r="C91" s="1">
        <v>-329616000</v>
      </c>
      <c r="D91" s="1">
        <v>-663595000</v>
      </c>
      <c r="E91" s="1">
        <v>-2051908000</v>
      </c>
      <c r="L91" s="45" t="s">
        <v>130</v>
      </c>
      <c r="M91" s="46">
        <f>M89/M90</f>
        <v>-1.4101707980585222E-2</v>
      </c>
    </row>
    <row r="92" spans="1:13" ht="20" x14ac:dyDescent="0.25">
      <c r="A92" s="5" t="s">
        <v>77</v>
      </c>
      <c r="B92" s="1">
        <v>104248000</v>
      </c>
      <c r="C92" s="1">
        <v>157407000</v>
      </c>
      <c r="D92" s="1">
        <v>271942000</v>
      </c>
      <c r="E92" s="1">
        <v>1200558000</v>
      </c>
      <c r="L92" s="45" t="s">
        <v>131</v>
      </c>
      <c r="M92" s="46">
        <f>M88*(1-M91)</f>
        <v>0</v>
      </c>
    </row>
    <row r="93" spans="1:13" ht="19" x14ac:dyDescent="0.25">
      <c r="A93" s="5" t="s">
        <v>78</v>
      </c>
      <c r="B93" s="1">
        <v>-675000</v>
      </c>
      <c r="C93" s="1">
        <v>-3610000</v>
      </c>
      <c r="D93" s="1">
        <v>-5330000</v>
      </c>
      <c r="E93" s="1">
        <v>-10334000</v>
      </c>
      <c r="L93" s="67" t="s">
        <v>132</v>
      </c>
      <c r="M93" s="67"/>
    </row>
    <row r="94" spans="1:13" ht="20" x14ac:dyDescent="0.25">
      <c r="A94" s="6" t="s">
        <v>79</v>
      </c>
      <c r="B94" s="10">
        <v>35641000</v>
      </c>
      <c r="C94" s="10">
        <v>-176859000</v>
      </c>
      <c r="D94" s="10">
        <v>-400583000</v>
      </c>
      <c r="E94" s="10">
        <v>-865805000</v>
      </c>
      <c r="L94" s="43" t="s">
        <v>133</v>
      </c>
      <c r="M94" s="47">
        <f>[1]Treasuries!$C$8</f>
        <v>3.8539999999999998E-2</v>
      </c>
    </row>
    <row r="95" spans="1:13" ht="20" x14ac:dyDescent="0.25">
      <c r="A95" s="5" t="s">
        <v>80</v>
      </c>
      <c r="B95" s="1" t="s">
        <v>91</v>
      </c>
      <c r="C95" s="1" t="s">
        <v>91</v>
      </c>
      <c r="D95" s="1" t="s">
        <v>91</v>
      </c>
      <c r="E95" s="1" t="s">
        <v>91</v>
      </c>
      <c r="L95" s="43" t="s">
        <v>134</v>
      </c>
      <c r="M95" s="48" cm="1">
        <f t="array" ref="M95">_FV(A1,"Beta")</f>
        <v>2.536</v>
      </c>
    </row>
    <row r="96" spans="1:13" ht="20" x14ac:dyDescent="0.25">
      <c r="A96" s="5" t="s">
        <v>81</v>
      </c>
      <c r="B96" s="1" t="s">
        <v>91</v>
      </c>
      <c r="C96" s="1" t="s">
        <v>91</v>
      </c>
      <c r="D96" s="1">
        <v>786600000</v>
      </c>
      <c r="E96" s="1" t="s">
        <v>91</v>
      </c>
      <c r="L96" s="43" t="s">
        <v>135</v>
      </c>
      <c r="M96" s="47">
        <v>8.4000000000000005E-2</v>
      </c>
    </row>
    <row r="97" spans="1:13" ht="20" x14ac:dyDescent="0.25">
      <c r="A97" s="5" t="s">
        <v>82</v>
      </c>
      <c r="B97" s="1" t="s">
        <v>91</v>
      </c>
      <c r="C97" s="1" t="s">
        <v>91</v>
      </c>
      <c r="D97" s="1" t="s">
        <v>91</v>
      </c>
      <c r="E97" s="1" t="s">
        <v>91</v>
      </c>
      <c r="L97" s="45" t="s">
        <v>136</v>
      </c>
      <c r="M97" s="46">
        <f>(M94)+((M95)*(M96-M94))</f>
        <v>0.15382656000000003</v>
      </c>
    </row>
    <row r="98" spans="1:13" ht="19" x14ac:dyDescent="0.25">
      <c r="A98" s="5" t="s">
        <v>83</v>
      </c>
      <c r="B98" s="1" t="s">
        <v>91</v>
      </c>
      <c r="C98" s="1" t="s">
        <v>91</v>
      </c>
      <c r="D98" s="1" t="s">
        <v>91</v>
      </c>
      <c r="E98" s="1">
        <v>0</v>
      </c>
      <c r="L98" s="67" t="s">
        <v>137</v>
      </c>
      <c r="M98" s="67"/>
    </row>
    <row r="99" spans="1:13" ht="20" x14ac:dyDescent="0.25">
      <c r="A99" s="5" t="s">
        <v>84</v>
      </c>
      <c r="B99" s="1">
        <v>13432000</v>
      </c>
      <c r="C99" s="1">
        <v>276758000</v>
      </c>
      <c r="D99" s="1">
        <v>1057914000</v>
      </c>
      <c r="E99" s="1">
        <v>82241000</v>
      </c>
      <c r="L99" s="43" t="s">
        <v>138</v>
      </c>
      <c r="M99" s="44">
        <f>M86+M87</f>
        <v>1117011000</v>
      </c>
    </row>
    <row r="100" spans="1:13" ht="20" x14ac:dyDescent="0.25">
      <c r="A100" s="6" t="s">
        <v>85</v>
      </c>
      <c r="B100" s="10">
        <v>13432000</v>
      </c>
      <c r="C100" s="10">
        <v>276758000</v>
      </c>
      <c r="D100" s="10">
        <v>1844514000</v>
      </c>
      <c r="E100" s="10">
        <v>82241000</v>
      </c>
      <c r="L100" s="45" t="s">
        <v>139</v>
      </c>
      <c r="M100" s="46">
        <f>M99/M103</f>
        <v>9.6515105261879827E-2</v>
      </c>
    </row>
    <row r="101" spans="1:13" ht="20" x14ac:dyDescent="0.25">
      <c r="A101" s="5" t="s">
        <v>86</v>
      </c>
      <c r="B101" s="1">
        <v>-85000</v>
      </c>
      <c r="C101" s="1">
        <v>-7000</v>
      </c>
      <c r="D101" s="1">
        <v>5000</v>
      </c>
      <c r="E101" s="1">
        <v>-4000</v>
      </c>
      <c r="L101" s="43" t="s">
        <v>140</v>
      </c>
      <c r="M101" s="49" cm="1">
        <f t="array" ref="M101">_FV(A1,"Market cap",TRUE)</f>
        <v>10456420920</v>
      </c>
    </row>
    <row r="102" spans="1:13" ht="20" x14ac:dyDescent="0.25">
      <c r="A102" s="6" t="s">
        <v>87</v>
      </c>
      <c r="B102" s="10">
        <v>-19846000</v>
      </c>
      <c r="C102" s="10">
        <v>17835000</v>
      </c>
      <c r="D102" s="10">
        <v>1338876000</v>
      </c>
      <c r="E102" s="10">
        <v>-940901000</v>
      </c>
      <c r="L102" s="45" t="s">
        <v>141</v>
      </c>
      <c r="M102" s="46">
        <f>M101/M103</f>
        <v>0.90348489473812021</v>
      </c>
    </row>
    <row r="103" spans="1:13" ht="20" x14ac:dyDescent="0.25">
      <c r="A103" s="5" t="s">
        <v>88</v>
      </c>
      <c r="B103" s="1">
        <v>39817000</v>
      </c>
      <c r="C103" s="1">
        <v>19971000</v>
      </c>
      <c r="D103" s="1">
        <v>37806000</v>
      </c>
      <c r="E103" s="1">
        <v>1376682000</v>
      </c>
      <c r="L103" s="45" t="s">
        <v>142</v>
      </c>
      <c r="M103" s="50">
        <f>M99+M101</f>
        <v>11573431920</v>
      </c>
    </row>
    <row r="104" spans="1:13" ht="20" thickBot="1" x14ac:dyDescent="0.3">
      <c r="A104" s="7" t="s">
        <v>89</v>
      </c>
      <c r="B104" s="11">
        <v>19971000</v>
      </c>
      <c r="C104" s="11">
        <v>37806000</v>
      </c>
      <c r="D104" s="11">
        <v>1376682000</v>
      </c>
      <c r="E104" s="11">
        <v>435781000</v>
      </c>
      <c r="L104" s="67" t="s">
        <v>143</v>
      </c>
      <c r="M104" s="67"/>
    </row>
    <row r="105" spans="1:13" ht="21" thickTop="1" x14ac:dyDescent="0.25">
      <c r="A105" s="14" t="s">
        <v>160</v>
      </c>
      <c r="B105" s="1">
        <f t="shared" ref="B105:D105" si="10">(B22*(1-0.2))+B77+B88+B81</f>
        <v>-80854400</v>
      </c>
      <c r="C105" s="1">
        <f t="shared" si="10"/>
        <v>-211759000</v>
      </c>
      <c r="D105" s="1">
        <f t="shared" si="10"/>
        <v>-249776000</v>
      </c>
      <c r="E105" s="1">
        <f>(E22*(1-0.2))+E77+E88+E81</f>
        <v>-356461200</v>
      </c>
      <c r="F105" s="27">
        <f>E105*(1+$M$106)</f>
        <v>-446164488.79391402</v>
      </c>
      <c r="G105" s="27">
        <f t="shared" ref="G105:J105" si="11">F105*(1+$M$106)</f>
        <v>-558441566.88227117</v>
      </c>
      <c r="H105" s="27">
        <f t="shared" si="11"/>
        <v>-698973117.43690717</v>
      </c>
      <c r="I105" s="27">
        <f t="shared" si="11"/>
        <v>-874869364.8058362</v>
      </c>
      <c r="J105" s="27">
        <f t="shared" si="11"/>
        <v>-1095029817.8597059</v>
      </c>
      <c r="K105" s="28" t="s">
        <v>163</v>
      </c>
      <c r="L105" s="51" t="s">
        <v>106</v>
      </c>
      <c r="M105" s="52">
        <f>(M100*M92)+(M102*M97)</f>
        <v>0.13897997336952717</v>
      </c>
    </row>
    <row r="106" spans="1:13" ht="19" x14ac:dyDescent="0.25">
      <c r="A106" s="14" t="s">
        <v>161</v>
      </c>
      <c r="B106" s="1"/>
      <c r="C106" s="15">
        <f>(C107/B107)-1</f>
        <v>0.2082410155651242</v>
      </c>
      <c r="D106" s="15">
        <f>(D107/C107)-1</f>
        <v>0.31479580656694384</v>
      </c>
      <c r="E106" s="15">
        <f>(E107/D107)-1</f>
        <v>0.5068858441079982</v>
      </c>
      <c r="F106" s="36">
        <v>-66680000</v>
      </c>
      <c r="G106" s="36">
        <v>53091000</v>
      </c>
      <c r="H106" s="36">
        <v>126500000</v>
      </c>
      <c r="I106" s="36">
        <v>191000000</v>
      </c>
      <c r="J106" s="36">
        <v>315000000</v>
      </c>
      <c r="K106" s="28" t="s">
        <v>164</v>
      </c>
      <c r="L106" s="53" t="s">
        <v>144</v>
      </c>
      <c r="M106" s="54">
        <f>(SUM(F4:J4)/5)</f>
        <v>0.2516495169570041</v>
      </c>
    </row>
    <row r="107" spans="1:13" ht="19" x14ac:dyDescent="0.25">
      <c r="A107" s="40" t="s">
        <v>162</v>
      </c>
      <c r="B107" s="1">
        <v>-71763000</v>
      </c>
      <c r="C107" s="1">
        <v>-86707000</v>
      </c>
      <c r="D107" s="1">
        <v>-114002000</v>
      </c>
      <c r="E107" s="1">
        <v>-171788000</v>
      </c>
      <c r="F107" s="28"/>
      <c r="G107" s="28"/>
      <c r="H107" s="28"/>
      <c r="I107" s="28"/>
      <c r="J107" s="37">
        <f>J106*(1+M107)/(M108-M107)</f>
        <v>2832734474.7943363</v>
      </c>
      <c r="K107" s="29" t="s">
        <v>145</v>
      </c>
      <c r="L107" s="55" t="s">
        <v>146</v>
      </c>
      <c r="M107" s="56">
        <v>2.5000000000000001E-2</v>
      </c>
    </row>
    <row r="108" spans="1:13" ht="19" x14ac:dyDescent="0.25">
      <c r="F108" s="37">
        <f t="shared" ref="F108:I108" si="12">F107+F106</f>
        <v>-66680000</v>
      </c>
      <c r="G108" s="37">
        <f t="shared" si="12"/>
        <v>53091000</v>
      </c>
      <c r="H108" s="37">
        <f t="shared" si="12"/>
        <v>126500000</v>
      </c>
      <c r="I108" s="37">
        <f t="shared" si="12"/>
        <v>191000000</v>
      </c>
      <c r="J108" s="37">
        <f>J107+J106</f>
        <v>3147734474.7943363</v>
      </c>
      <c r="K108" s="29" t="s">
        <v>142</v>
      </c>
      <c r="L108" s="57" t="s">
        <v>147</v>
      </c>
      <c r="M108" s="54">
        <f>M105</f>
        <v>0.13897997336952717</v>
      </c>
    </row>
    <row r="109" spans="1:13" ht="19" x14ac:dyDescent="0.25">
      <c r="F109" s="64" t="s">
        <v>148</v>
      </c>
      <c r="G109" s="64"/>
    </row>
    <row r="110" spans="1:13" ht="20" x14ac:dyDescent="0.25">
      <c r="F110" s="58" t="s">
        <v>149</v>
      </c>
      <c r="G110" s="49">
        <f>NPV(M108,F108,G108,H108,I108,J108)</f>
        <v>1823656127.9384632</v>
      </c>
    </row>
    <row r="111" spans="1:13" ht="20" x14ac:dyDescent="0.25">
      <c r="F111" s="58" t="s">
        <v>150</v>
      </c>
      <c r="G111" s="49">
        <f>E40</f>
        <v>1926825000</v>
      </c>
    </row>
    <row r="112" spans="1:13" ht="20" x14ac:dyDescent="0.25">
      <c r="F112" s="58" t="s">
        <v>138</v>
      </c>
      <c r="G112" s="49">
        <f>M99</f>
        <v>1117011000</v>
      </c>
    </row>
    <row r="113" spans="6:7" ht="20" x14ac:dyDescent="0.25">
      <c r="F113" s="58" t="s">
        <v>151</v>
      </c>
      <c r="G113" s="49">
        <f>G110+G111-G112</f>
        <v>2633470127.9384632</v>
      </c>
    </row>
    <row r="114" spans="6:7" ht="20" x14ac:dyDescent="0.25">
      <c r="F114" s="58" t="s">
        <v>165</v>
      </c>
      <c r="G114" s="58">
        <f>E34*(1+(5*0.05))</f>
        <v>350100446.25</v>
      </c>
    </row>
    <row r="115" spans="6:7" ht="20" x14ac:dyDescent="0.25">
      <c r="F115" s="59" t="s">
        <v>152</v>
      </c>
      <c r="G115" s="60">
        <f>G113/G114</f>
        <v>7.5220416201867755</v>
      </c>
    </row>
    <row r="116" spans="6:7" ht="20" x14ac:dyDescent="0.25">
      <c r="F116" s="58" t="s">
        <v>153</v>
      </c>
      <c r="G116" s="61" cm="1">
        <f t="array" ref="G116">_FV(A1,"Price")</f>
        <v>35.31</v>
      </c>
    </row>
    <row r="117" spans="6:7" ht="20" x14ac:dyDescent="0.25">
      <c r="F117" s="59" t="s">
        <v>154</v>
      </c>
      <c r="G117" s="62">
        <f>G115/G116-1</f>
        <v>-0.78697135032039722</v>
      </c>
    </row>
    <row r="118" spans="6:7" ht="20" x14ac:dyDescent="0.25">
      <c r="F118" s="59" t="s">
        <v>155</v>
      </c>
      <c r="G118" s="63" t="str">
        <f>IF(G115&gt;G116,"BUY","SELL")</f>
        <v>SELL</v>
      </c>
    </row>
  </sheetData>
  <mergeCells count="6">
    <mergeCell ref="F109:G109"/>
    <mergeCell ref="L83:M83"/>
    <mergeCell ref="L84:M84"/>
    <mergeCell ref="L93:M93"/>
    <mergeCell ref="L98:M98"/>
    <mergeCell ref="L104:M104"/>
  </mergeCells>
  <hyperlinks>
    <hyperlink ref="A1" r:id="rId1" tooltip="https://roic.ai/company/CFLT" display="ROIC.AI | CFL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699838/000095017022002008/0000950170-22-002008-index.htm" xr:uid="{00000000-0004-0000-0000-000007000000}"/>
    <hyperlink ref="D74" r:id="rId7" tooltip="https://www.sec.gov/Archives/edgar/data/1699838/000095017022002008/0000950170-22-002008-index.htm" xr:uid="{00000000-0004-0000-0000-000008000000}"/>
    <hyperlink ref="E36" r:id="rId8" tooltip="https://sec.gov" xr:uid="{00000000-0004-0000-0000-00000A000000}"/>
    <hyperlink ref="E74" r:id="rId9" tooltip="https://sec.gov" xr:uid="{00000000-0004-0000-0000-00000B000000}"/>
    <hyperlink ref="F1" r:id="rId10" display="https://finbox.com/NASDAQGS:CFLT/explorer/revenue_proj" xr:uid="{419D14A5-A902-414D-808B-A02D26FA45E5}"/>
    <hyperlink ref="K106" r:id="rId11" xr:uid="{CB0A6B2F-3D78-504E-B56E-C6DAD56D2113}"/>
  </hyperlinks>
  <pageMargins left="0.7" right="0.7" top="0.75" bottom="0.75" header="0.3" footer="0.3"/>
  <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2023-01-31T18:58:47Z</dcterms:created>
  <dcterms:modified xsi:type="dcterms:W3CDTF">2023-07-01T07:54:26Z</dcterms:modified>
</cp:coreProperties>
</file>