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CA60A92-1065-7C4D-B115-577C9BFB394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5" i="1" l="1"/>
  <c r="I105" i="1"/>
  <c r="J108" i="1" l="1"/>
  <c r="K108" i="1"/>
  <c r="L108" i="1"/>
  <c r="M108" i="1"/>
  <c r="J105" i="1"/>
  <c r="K105" i="1" s="1"/>
  <c r="L105" i="1" s="1"/>
  <c r="M105" i="1" s="1"/>
  <c r="N105" i="1" s="1"/>
  <c r="K116" i="1" a="1"/>
  <c r="K116" i="1" s="1"/>
  <c r="K114" i="1"/>
  <c r="B105" i="1"/>
  <c r="C105" i="1"/>
  <c r="D105" i="1"/>
  <c r="E105" i="1"/>
  <c r="F105" i="1"/>
  <c r="G105" i="1"/>
  <c r="K30" i="1" l="1"/>
  <c r="L30" i="1"/>
  <c r="M30" i="1"/>
  <c r="N30" i="1"/>
  <c r="J30" i="1"/>
  <c r="J29" i="1"/>
  <c r="K29" i="1"/>
  <c r="L29" i="1"/>
  <c r="M29" i="1"/>
  <c r="N29" i="1"/>
  <c r="J20" i="1"/>
  <c r="K20" i="1"/>
  <c r="L20" i="1"/>
  <c r="M20" i="1"/>
  <c r="N20" i="1"/>
  <c r="J21" i="1"/>
  <c r="K21" i="1"/>
  <c r="L21" i="1"/>
  <c r="M21" i="1"/>
  <c r="N21" i="1"/>
  <c r="Q101" i="1" a="1"/>
  <c r="Q101" i="1" s="1"/>
  <c r="Q95" i="1" a="1"/>
  <c r="Q95" i="1" s="1"/>
  <c r="K111" i="1"/>
  <c r="Q90" i="1"/>
  <c r="Q89" i="1"/>
  <c r="Q91" i="1"/>
  <c r="Q87" i="1"/>
  <c r="Q86" i="1"/>
  <c r="Q99" i="1"/>
  <c r="Q85" i="1"/>
  <c r="Q88" i="1"/>
  <c r="Q92" i="1"/>
  <c r="O19" i="1"/>
  <c r="O16" i="1"/>
  <c r="R13" i="1"/>
  <c r="Q13" i="1"/>
  <c r="P13" i="1"/>
  <c r="O13" i="1"/>
  <c r="R10" i="1"/>
  <c r="Q10" i="1"/>
  <c r="P10" i="1"/>
  <c r="O10" i="1"/>
  <c r="R7" i="1"/>
  <c r="Q7" i="1"/>
  <c r="P7" i="1"/>
  <c r="O7" i="1"/>
  <c r="Q4" i="1"/>
  <c r="P4" i="1"/>
  <c r="O4" i="1"/>
  <c r="K112" i="1"/>
  <c r="I21" i="1"/>
  <c r="I20" i="1"/>
  <c r="I29" i="1"/>
  <c r="I106" i="1"/>
  <c r="R4" i="1" s="1"/>
  <c r="I80" i="1"/>
  <c r="I89" i="1"/>
  <c r="I54" i="1"/>
  <c r="I48" i="1"/>
  <c r="H40" i="1"/>
  <c r="I40" i="1"/>
  <c r="I35" i="1"/>
  <c r="I23" i="1"/>
  <c r="I16" i="1"/>
  <c r="I12" i="1"/>
  <c r="I13" i="1"/>
  <c r="N4" i="1"/>
  <c r="I9" i="1"/>
  <c r="I5" i="1"/>
  <c r="I7" i="1"/>
  <c r="M4" i="1"/>
  <c r="L4" i="1"/>
  <c r="K4" i="1"/>
  <c r="J4" i="1"/>
  <c r="I4" i="1"/>
  <c r="H106" i="1"/>
  <c r="G106" i="1"/>
  <c r="F106" i="1"/>
  <c r="E106" i="1"/>
  <c r="D106" i="1"/>
  <c r="C106"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P19" i="1" l="1"/>
  <c r="R22" i="1"/>
  <c r="Q22" i="1"/>
  <c r="Q19" i="1"/>
  <c r="R19" i="1"/>
  <c r="Q106" i="1"/>
  <c r="R16" i="1"/>
  <c r="Q16" i="1"/>
  <c r="P16" i="1"/>
  <c r="Q103" i="1"/>
  <c r="Q100" i="1" s="1"/>
  <c r="Q102" i="1" l="1"/>
  <c r="Q94" i="1" l="1"/>
  <c r="Q97" i="1" s="1"/>
  <c r="Q105" i="1" s="1"/>
  <c r="Q108" i="1" s="1"/>
  <c r="N107" i="1" l="1"/>
  <c r="N108" i="1" s="1"/>
  <c r="K110" i="1" s="1"/>
  <c r="K113" i="1" s="1"/>
  <c r="K115" i="1" s="1"/>
  <c r="K118" i="1" l="1"/>
  <c r="K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<sst xmlns="http://schemas.openxmlformats.org/spreadsheetml/2006/main" count="308" uniqueCount="167">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</sst>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9" fontId="10" fillId="0" borderId="9"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2" fillId="0" borderId="2" xfId="0" applyNumberFormat="1" applyFont="1" applyBorder="1"/>
    <xf numFmtId="165" fontId="9" fillId="0" borderId="10"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0" borderId="0" xfId="0" applyFont="1" applyAlignment="1">
      <alignment indent="1"/>
    </xf>
    <xf numFmtId="170" fontId="10" fillId="0" borderId="5" xfId="0" applyNumberFormat="1" applyFont="1" applyBorder="1" applyAlignment="1">
      <alignment horizontal="center"/>
    </xf>
    <xf numFmtId="170" fontId="10" fillId="0" borderId="6"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8"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MongoDB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1'!$B$107:$I$107</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29483</xdr:colOff>
      <xdr:row>108</xdr:row>
      <xdr:rowOff>23132</xdr:rowOff>
    </xdr:from>
    <xdr:to>
      <xdr:col>16</xdr:col>
      <xdr:colOff>1598839</xdr:colOff>
      <xdr:row>125</xdr:row>
      <xdr:rowOff>47626</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3.7679999999999998E-2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414.48</v>
    <v>135.15</v>
    <v>1.0947</v>
    <v>4.97</v>
    <v>1.2487E-2</v>
    <v>0</v>
    <v>0</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407.03</v>
    <v>3</v>
    <v>Software &amp; IT Services</v>
    <v>Stock</v>
    <v>45106.999985185153</v>
    <v>4</v>
    <v>395.55</v>
    <v>28443590326</v>
    <v>MONGODB, INC.</v>
    <v>MONGODB, INC.</v>
    <v>400</v>
    <v>398.02</v>
    <v>402.99</v>
    <v>402.99</v>
    <v>70581380</v>
    <v>MDB</v>
    <v>MONGODB, INC. (XNAS:MDB)</v>
    <v>1809917</v>
    <v>2339400</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hyperlink" Target="https://finbox.com/NASDAQGM:MDB/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79" activePane="bottomRight" state="frozen"/>
      <selection pane="topRight"/>
      <selection pane="bottomLeft"/>
      <selection pane="bottomRight" activeCell="L93" sqref="L93"/>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3">
        <v>2024</v>
      </c>
      <c r="K1" s="23">
        <v>2025</v>
      </c>
      <c r="L1" s="23">
        <v>2026</v>
      </c>
      <c r="M1" s="23">
        <v>2027</v>
      </c>
      <c r="N1" s="23">
        <v>2028</v>
      </c>
    </row>
    <row r="2" spans="1:38" ht="21">
      <c r="A2" s="4" t="s">
        <v>0</v>
      </c>
      <c r="B2" s="9" t="s">
        <v>90</v>
      </c>
      <c r="C2" s="9" t="s">
        <v>90</v>
      </c>
      <c r="D2" s="9" t="s">
        <v>90</v>
      </c>
      <c r="E2" s="9" t="s">
        <v>90</v>
      </c>
      <c r="F2" s="9" t="s">
        <v>90</v>
      </c>
      <c r="G2" s="9" t="s">
        <v>90</v>
      </c>
      <c r="H2" s="9" t="s">
        <v>90</v>
      </c>
      <c r="I2" s="9" t="s">
        <v>90</v>
      </c>
      <c r="J2" s="9" t="s">
        <v>90</v>
      </c>
      <c r="K2" s="9" t="s">
        <v>90</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4">
        <v>1538000000</v>
      </c>
      <c r="K3" s="24">
        <v>1847000000</v>
      </c>
      <c r="L3" s="24">
        <v>2274000000</v>
      </c>
      <c r="M3" s="24">
        <v>2774000000</v>
      </c>
      <c r="N3" s="24">
        <v>3496000000</v>
      </c>
      <c r="O3" s="20" t="s">
        <v>107</v>
      </c>
      <c r="P3" s="21" t="s">
        <v>108</v>
      </c>
      <c r="Q3" s="21" t="s">
        <v>109</v>
      </c>
      <c r="R3" s="21" t="s">
        <v>110</v>
      </c>
    </row>
    <row r="4" spans="1:38" ht="19">
      <c r="A4" s="14" t="s">
        <v>93</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0.19781931464174463</v>
      </c>
      <c r="K4" s="16">
        <f t="shared" si="0"/>
        <v>0.20091027308192455</v>
      </c>
      <c r="L4" s="16">
        <f t="shared" si="0"/>
        <v>0.23118570655116399</v>
      </c>
      <c r="M4" s="16">
        <f t="shared" si="0"/>
        <v>0.2198768689533861</v>
      </c>
      <c r="N4" s="16">
        <f t="shared" si="0"/>
        <v>0.26027397260273966</v>
      </c>
      <c r="O4" s="17">
        <f>(I4+H4+G4)/3</f>
        <v>0.44981362784644269</v>
      </c>
      <c r="P4" s="17">
        <f>(I20+H20+G20)/3</f>
        <v>-8.910322427350148E-2</v>
      </c>
      <c r="Q4" s="17">
        <f>(I29+H29+G29)/3</f>
        <v>0.26532531940550536</v>
      </c>
      <c r="R4" s="17">
        <f>(I106+H106+G106)/3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111</v>
      </c>
      <c r="P6" s="21" t="s">
        <v>112</v>
      </c>
      <c r="Q6" s="21" t="s">
        <v>113</v>
      </c>
      <c r="R6" s="21" t="s">
        <v>114</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I107/I3</f>
        <v>-1.5742990654205608E-2</v>
      </c>
    </row>
    <row r="8" spans="1:38" ht="19">
      <c r="A8" s="5" t="s">
        <v>5</v>
      </c>
      <c r="B8" s="1">
        <v>43465000</v>
      </c>
      <c r="C8" s="1">
        <v>51772000</v>
      </c>
      <c r="D8" s="1">
        <v>62202000</v>
      </c>
      <c r="E8" s="1">
        <v>89854000</v>
      </c>
      <c r="F8" s="1">
        <v>149033000</v>
      </c>
      <c r="G8" s="1">
        <v>205161000</v>
      </c>
      <c r="H8" s="1">
        <v>308820000</v>
      </c>
      <c r="I8" s="1">
        <v>421692000</v>
      </c>
      <c r="J8" s="26"/>
    </row>
    <row r="9" spans="1:38" ht="19" customHeight="1">
      <c r="A9" s="14" t="s">
        <v>94</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95</v>
      </c>
      <c r="P9" s="21" t="s">
        <v>96</v>
      </c>
      <c r="Q9" s="21" t="s">
        <v>97</v>
      </c>
      <c r="R9" s="21" t="s">
        <v>98</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115</v>
      </c>
      <c r="P12" s="21" t="s">
        <v>116</v>
      </c>
      <c r="Q12" s="21" t="s">
        <v>117</v>
      </c>
      <c r="R12" s="21" t="s">
        <v>118</v>
      </c>
    </row>
    <row r="13" spans="1:38" ht="19">
      <c r="A13" s="14" t="s">
        <v>99</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35">
        <f>I67/I72</f>
        <v>2.5008316340053116</v>
      </c>
    </row>
    <row r="14" spans="1:38" ht="19">
      <c r="A14" s="5" t="s">
        <v>9</v>
      </c>
      <c r="B14" s="1" t="s">
        <v>91</v>
      </c>
      <c r="C14" s="1" t="s">
        <v>91</v>
      </c>
      <c r="D14" s="1" t="s">
        <v>91</v>
      </c>
      <c r="E14" s="1" t="s">
        <v>91</v>
      </c>
      <c r="F14" s="1" t="s">
        <v>91</v>
      </c>
      <c r="G14" s="1" t="s">
        <v>91</v>
      </c>
      <c r="H14" s="1" t="s">
        <v>91</v>
      </c>
      <c r="I14" s="1" t="s">
        <v>91</v>
      </c>
    </row>
    <row r="15" spans="1:38" ht="20" customHeight="1">
      <c r="A15" s="5" t="s">
        <v>10</v>
      </c>
      <c r="B15" s="1">
        <v>117148000</v>
      </c>
      <c r="C15" s="1">
        <v>157438000</v>
      </c>
      <c r="D15" s="1">
        <v>208927000</v>
      </c>
      <c r="E15" s="1">
        <v>291213000</v>
      </c>
      <c r="F15" s="1">
        <v>444230000</v>
      </c>
      <c r="G15" s="1">
        <v>622608000</v>
      </c>
      <c r="H15" s="1">
        <v>903654000</v>
      </c>
      <c r="I15" s="1">
        <v>1281391000</v>
      </c>
      <c r="O15" s="20" t="s">
        <v>119</v>
      </c>
      <c r="P15" s="21" t="s">
        <v>120</v>
      </c>
      <c r="Q15" s="21" t="s">
        <v>121</v>
      </c>
      <c r="R15" s="21" t="s">
        <v>122</v>
      </c>
    </row>
    <row r="16" spans="1:38" ht="19">
      <c r="A16" s="5" t="s">
        <v>11</v>
      </c>
      <c r="B16" s="1">
        <v>138009000</v>
      </c>
      <c r="C16" s="1">
        <v>187305000</v>
      </c>
      <c r="D16" s="1">
        <v>251786000</v>
      </c>
      <c r="E16" s="1">
        <v>364781000</v>
      </c>
      <c r="F16" s="1">
        <v>569586000</v>
      </c>
      <c r="G16" s="1">
        <v>799684000</v>
      </c>
      <c r="H16" s="1">
        <v>1163146000</v>
      </c>
      <c r="I16" s="1">
        <f>I15+I5</f>
        <v>1630691000</v>
      </c>
      <c r="O16" s="25">
        <f>(I35+H35+G35+F35+E35)/5</f>
        <v>0.29651737992603422</v>
      </c>
      <c r="P16" s="33">
        <f>Q101/I3</f>
        <v>22.152328914330219</v>
      </c>
      <c r="Q16" s="33">
        <f>Q101/I28</f>
        <v>-82.350188263973735</v>
      </c>
      <c r="R16" s="34">
        <f>Q101/I107</f>
        <v>-1407.1232970218659</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123</v>
      </c>
      <c r="P18" s="21" t="s">
        <v>156</v>
      </c>
      <c r="Q18" s="21" t="s">
        <v>157</v>
      </c>
      <c r="R18" s="21" t="s">
        <v>158</v>
      </c>
    </row>
    <row r="19" spans="1:18" ht="19">
      <c r="A19" s="6" t="s">
        <v>14</v>
      </c>
      <c r="B19" s="10">
        <v>-68958000</v>
      </c>
      <c r="C19" s="10">
        <v>-82202000</v>
      </c>
      <c r="D19" s="10">
        <v>-91361000</v>
      </c>
      <c r="E19" s="10">
        <v>-86247000</v>
      </c>
      <c r="F19" s="10">
        <v>-135421000</v>
      </c>
      <c r="G19" s="10">
        <v>-182054000</v>
      </c>
      <c r="H19" s="10">
        <v>-285244000</v>
      </c>
      <c r="I19" s="10">
        <v>50909000</v>
      </c>
      <c r="J19" s="39">
        <v>135700000</v>
      </c>
      <c r="K19" s="39">
        <v>182600000</v>
      </c>
      <c r="L19" s="39">
        <v>273800000</v>
      </c>
      <c r="M19" s="39">
        <v>435000000</v>
      </c>
      <c r="N19" s="39">
        <v>612000000</v>
      </c>
      <c r="O19" s="27">
        <f>I40-I56-I61</f>
        <v>620051000</v>
      </c>
      <c r="P19" s="36">
        <f>Q101/J3</f>
        <v>18.49388187646294</v>
      </c>
      <c r="Q19" s="33">
        <f>Q101/J28</f>
        <v>225.38502635499208</v>
      </c>
      <c r="R19" s="34">
        <f>Q101/J105</f>
        <v>-95.465076478895355</v>
      </c>
    </row>
    <row r="20" spans="1:18" ht="19" customHeight="1">
      <c r="A20" s="14" t="s">
        <v>100</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1.665540474179418</v>
      </c>
      <c r="K20" s="16">
        <f t="shared" ref="K20" si="6">(K19/J19)-1</f>
        <v>0.34561532792925576</v>
      </c>
      <c r="L20" s="16">
        <f t="shared" ref="L20" si="7">(L19/K19)-1</f>
        <v>0.49945235487404172</v>
      </c>
      <c r="M20" s="16">
        <f t="shared" ref="M20" si="8">(M19/L19)-1</f>
        <v>0.5887509130752373</v>
      </c>
      <c r="N20" s="16">
        <f t="shared" ref="N20" si="9">(N19/M19)-1</f>
        <v>0.40689655172413786</v>
      </c>
    </row>
    <row r="21" spans="1:18" ht="20">
      <c r="A21" s="5" t="s">
        <v>15</v>
      </c>
      <c r="B21" s="2">
        <v>-1.0565</v>
      </c>
      <c r="C21" s="2">
        <v>-0.81100000000000005</v>
      </c>
      <c r="D21" s="2">
        <v>-0.59130000000000005</v>
      </c>
      <c r="E21" s="2">
        <v>-0.32300000000000001</v>
      </c>
      <c r="F21" s="2">
        <v>-0.3211</v>
      </c>
      <c r="G21" s="2">
        <v>-0.30840000000000001</v>
      </c>
      <c r="H21" s="2">
        <v>-0.32640000000000002</v>
      </c>
      <c r="I21" s="38">
        <f>I19/I3</f>
        <v>3.9648753894080999E-2</v>
      </c>
      <c r="J21" s="40">
        <f t="shared" ref="J21:N21" si="10">J19/J3</f>
        <v>8.8231469440832253E-2</v>
      </c>
      <c r="K21" s="40">
        <f t="shared" si="10"/>
        <v>9.886302111532215E-2</v>
      </c>
      <c r="L21" s="40">
        <f t="shared" si="10"/>
        <v>0.12040457343887423</v>
      </c>
      <c r="M21" s="40">
        <f t="shared" si="10"/>
        <v>0.15681326604181686</v>
      </c>
      <c r="N21" s="40">
        <f t="shared" si="10"/>
        <v>0.17505720823798626</v>
      </c>
      <c r="Q21" s="20" t="s">
        <v>165</v>
      </c>
      <c r="R21" s="21" t="s">
        <v>166</v>
      </c>
    </row>
    <row r="22" spans="1:18" ht="19">
      <c r="A22" s="6" t="s">
        <v>16</v>
      </c>
      <c r="B22" s="10">
        <v>-72738000</v>
      </c>
      <c r="C22" s="10">
        <v>-85947000</v>
      </c>
      <c r="D22" s="10">
        <v>-97267000</v>
      </c>
      <c r="E22" s="10">
        <v>-97765000</v>
      </c>
      <c r="F22" s="10">
        <v>-147866000</v>
      </c>
      <c r="G22" s="10">
        <v>-209304000</v>
      </c>
      <c r="H22" s="10">
        <v>-289364000</v>
      </c>
      <c r="I22" s="37">
        <v>-346655000</v>
      </c>
      <c r="Q22" s="45">
        <f>(-1*I98)/Q101</f>
        <v>0</v>
      </c>
      <c r="R22" s="46">
        <f>I107/Q101</f>
        <v>-7.106697772089125E-4</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41">
        <v>126200000</v>
      </c>
      <c r="K28" s="41">
        <v>171100000</v>
      </c>
      <c r="L28" s="41">
        <v>246000000</v>
      </c>
      <c r="M28" s="41">
        <v>579600000</v>
      </c>
      <c r="N28" s="41">
        <v>813000000</v>
      </c>
    </row>
    <row r="29" spans="1:18" ht="20" customHeight="1" thickTop="1">
      <c r="A29" s="14" t="s">
        <v>101</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-1.3653755956896103</v>
      </c>
      <c r="K29" s="16">
        <f t="shared" ref="K29" si="13">(K28/J28)-1</f>
        <v>0.35578446909667205</v>
      </c>
      <c r="L29" s="16">
        <f t="shared" ref="L29" si="14">(L28/K28)-1</f>
        <v>0.43775569842197548</v>
      </c>
      <c r="M29" s="16">
        <f t="shared" ref="M29" si="15">(M28/L28)-1</f>
        <v>1.3560975609756096</v>
      </c>
      <c r="N29" s="16">
        <f t="shared" ref="N29" si="16">(N28/M28)-1</f>
        <v>0.40269151138716364</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42">
        <f>J28/J3</f>
        <v>8.2054616384915471E-2</v>
      </c>
      <c r="K30" s="42">
        <f t="shared" ref="K30:N30" si="17">K28/K3</f>
        <v>9.2636708175419594E-2</v>
      </c>
      <c r="L30" s="42">
        <f t="shared" si="17"/>
        <v>0.10817941952506596</v>
      </c>
      <c r="M30" s="42">
        <f t="shared" si="17"/>
        <v>0.20894015861571738</v>
      </c>
      <c r="N30" s="42">
        <f t="shared" si="17"/>
        <v>0.23255148741418763</v>
      </c>
    </row>
    <row r="31" spans="1:18" ht="19">
      <c r="A31" s="5" t="s">
        <v>24</v>
      </c>
      <c r="B31" s="12">
        <v>-1.82</v>
      </c>
      <c r="C31" s="12">
        <v>-2.2799999999999998</v>
      </c>
      <c r="D31" s="12">
        <v>-4.0599999999999996</v>
      </c>
      <c r="E31" s="12">
        <v>-1.9</v>
      </c>
      <c r="F31" s="12">
        <v>-3.14</v>
      </c>
      <c r="G31" s="12">
        <v>-4.53</v>
      </c>
      <c r="H31" s="12">
        <v>-4.62</v>
      </c>
      <c r="I31" s="12">
        <v>-5.03</v>
      </c>
      <c r="J31" s="43">
        <v>1.79</v>
      </c>
      <c r="K31" s="43">
        <v>2.4300000000000002</v>
      </c>
      <c r="L31" s="43">
        <v>3.49</v>
      </c>
      <c r="M31" s="43">
        <v>8.2200000000000006</v>
      </c>
      <c r="N31" s="43">
        <v>11.53</v>
      </c>
    </row>
    <row r="32" spans="1:18"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102</v>
      </c>
      <c r="B35" s="1"/>
      <c r="C35" s="22">
        <f>(C34-B34)/B34</f>
        <v>-5.5295227779249105E-2</v>
      </c>
      <c r="D35" s="22">
        <f t="shared" ref="D35:I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row>
    <row r="36" spans="1:9" ht="19">
      <c r="A36" s="5" t="s">
        <v>28</v>
      </c>
      <c r="B36" s="13" t="s">
        <v>92</v>
      </c>
      <c r="C36" s="13" t="s">
        <v>92</v>
      </c>
      <c r="D36" s="13" t="s">
        <v>92</v>
      </c>
      <c r="E36" s="13" t="s">
        <v>92</v>
      </c>
      <c r="F36" s="13" t="s">
        <v>92</v>
      </c>
      <c r="G36" s="13" t="s">
        <v>92</v>
      </c>
      <c r="H36" s="13" t="s">
        <v>92</v>
      </c>
      <c r="I36" s="13" t="s">
        <v>92</v>
      </c>
    </row>
    <row r="37" spans="1:9" ht="21">
      <c r="A37" s="4" t="s">
        <v>29</v>
      </c>
      <c r="B37" s="9" t="s">
        <v>90</v>
      </c>
      <c r="C37" s="9" t="s">
        <v>90</v>
      </c>
      <c r="D37" s="9" t="s">
        <v>90</v>
      </c>
      <c r="E37" s="9" t="s">
        <v>90</v>
      </c>
      <c r="F37" s="9" t="s">
        <v>90</v>
      </c>
      <c r="G37" s="9" t="s">
        <v>90</v>
      </c>
      <c r="H37" s="9" t="s">
        <v>90</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91</v>
      </c>
      <c r="C42" s="1" t="s">
        <v>91</v>
      </c>
      <c r="D42" s="1" t="s">
        <v>91</v>
      </c>
      <c r="E42" s="1" t="s">
        <v>91</v>
      </c>
      <c r="F42" s="1" t="s">
        <v>91</v>
      </c>
      <c r="G42" s="1" t="s">
        <v>91</v>
      </c>
      <c r="H42" s="1" t="s">
        <v>91</v>
      </c>
      <c r="I42" s="1" t="s">
        <v>91</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91</v>
      </c>
      <c r="C49" s="1" t="s">
        <v>91</v>
      </c>
      <c r="D49" s="1" t="s">
        <v>91</v>
      </c>
      <c r="E49" s="1" t="s">
        <v>91</v>
      </c>
      <c r="F49" s="1" t="s">
        <v>91</v>
      </c>
      <c r="G49" s="1" t="s">
        <v>91</v>
      </c>
      <c r="H49" s="1" t="s">
        <v>91</v>
      </c>
      <c r="I49" s="1" t="s">
        <v>91</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91</v>
      </c>
      <c r="C53" s="1" t="s">
        <v>91</v>
      </c>
      <c r="D53" s="1" t="s">
        <v>91</v>
      </c>
      <c r="E53" s="1" t="s">
        <v>91</v>
      </c>
      <c r="F53" s="1" t="s">
        <v>91</v>
      </c>
      <c r="G53" s="1" t="s">
        <v>91</v>
      </c>
      <c r="H53" s="1" t="s">
        <v>91</v>
      </c>
      <c r="I53" s="1" t="s">
        <v>91</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91</v>
      </c>
      <c r="C56" s="1" t="s">
        <v>91</v>
      </c>
      <c r="D56" s="1" t="s">
        <v>91</v>
      </c>
      <c r="E56" s="1" t="s">
        <v>91</v>
      </c>
      <c r="F56" s="1" t="s">
        <v>91</v>
      </c>
      <c r="G56" s="1">
        <v>2343000</v>
      </c>
      <c r="H56" s="1">
        <v>8084000</v>
      </c>
      <c r="I56" s="1">
        <v>8686000</v>
      </c>
    </row>
    <row r="57" spans="1:9" ht="19">
      <c r="A57" s="5" t="s">
        <v>49</v>
      </c>
      <c r="B57" s="1" t="s">
        <v>91</v>
      </c>
      <c r="C57" s="1" t="s">
        <v>91</v>
      </c>
      <c r="D57" s="1" t="s">
        <v>91</v>
      </c>
      <c r="E57" s="1" t="s">
        <v>91</v>
      </c>
      <c r="F57" s="1" t="s">
        <v>91</v>
      </c>
      <c r="G57" s="1" t="s">
        <v>91</v>
      </c>
      <c r="H57" s="1" t="s">
        <v>91</v>
      </c>
      <c r="I57" s="1" t="s">
        <v>91</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91</v>
      </c>
      <c r="C61" s="1" t="s">
        <v>91</v>
      </c>
      <c r="D61" s="1" t="s">
        <v>91</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91</v>
      </c>
      <c r="C66" s="1" t="s">
        <v>91</v>
      </c>
      <c r="D66" s="1" t="s">
        <v>91</v>
      </c>
      <c r="E66" s="1" t="s">
        <v>91</v>
      </c>
      <c r="F66" s="1" t="s">
        <v>91</v>
      </c>
      <c r="G66" s="1" t="s">
        <v>91</v>
      </c>
      <c r="H66" s="1" t="s">
        <v>91</v>
      </c>
      <c r="I66" s="1" t="s">
        <v>91</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92</v>
      </c>
      <c r="C74" s="13" t="s">
        <v>92</v>
      </c>
      <c r="D74" s="13" t="s">
        <v>92</v>
      </c>
      <c r="E74" s="13" t="s">
        <v>92</v>
      </c>
      <c r="F74" s="13" t="s">
        <v>92</v>
      </c>
      <c r="G74" s="13" t="s">
        <v>92</v>
      </c>
      <c r="H74" s="13" t="s">
        <v>92</v>
      </c>
    </row>
    <row r="75" spans="1:17" ht="21">
      <c r="A75" s="4" t="s">
        <v>65</v>
      </c>
      <c r="B75" s="9" t="s">
        <v>90</v>
      </c>
      <c r="C75" s="9" t="s">
        <v>90</v>
      </c>
      <c r="D75" s="9" t="s">
        <v>90</v>
      </c>
      <c r="E75" s="9" t="s">
        <v>90</v>
      </c>
      <c r="F75" s="9" t="s">
        <v>90</v>
      </c>
      <c r="G75" s="9" t="s">
        <v>90</v>
      </c>
      <c r="H75" s="9" t="s">
        <v>90</v>
      </c>
      <c r="I75" s="9" t="s">
        <v>90</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103</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91</v>
      </c>
      <c r="C83" s="1" t="s">
        <v>91</v>
      </c>
      <c r="D83" s="1" t="s">
        <v>91</v>
      </c>
      <c r="E83" s="1" t="s">
        <v>91</v>
      </c>
      <c r="F83" s="1" t="s">
        <v>91</v>
      </c>
      <c r="G83" s="1" t="s">
        <v>91</v>
      </c>
      <c r="H83" s="1" t="s">
        <v>91</v>
      </c>
      <c r="I83" s="1" t="s">
        <v>91</v>
      </c>
      <c r="P83" s="69" t="s">
        <v>124</v>
      </c>
      <c r="Q83" s="70"/>
    </row>
    <row r="84" spans="1:17" ht="19">
      <c r="A84" s="5" t="s">
        <v>47</v>
      </c>
      <c r="B84" s="1">
        <v>371000</v>
      </c>
      <c r="C84" s="1">
        <v>1296000</v>
      </c>
      <c r="D84" s="1">
        <v>-371000</v>
      </c>
      <c r="E84" s="1">
        <v>-913000</v>
      </c>
      <c r="F84" s="1">
        <v>513000</v>
      </c>
      <c r="G84" s="1">
        <v>1216000</v>
      </c>
      <c r="H84" s="1">
        <v>1146000</v>
      </c>
      <c r="I84" s="1">
        <v>3161000</v>
      </c>
      <c r="P84" s="71" t="s">
        <v>125</v>
      </c>
      <c r="Q84" s="71"/>
    </row>
    <row r="85" spans="1:17" ht="19" customHeight="1">
      <c r="A85" s="5" t="s">
        <v>71</v>
      </c>
      <c r="B85" s="1">
        <v>16491000</v>
      </c>
      <c r="C85" s="1">
        <v>29143000</v>
      </c>
      <c r="D85" s="1">
        <v>38382000</v>
      </c>
      <c r="E85" s="1">
        <v>22188000</v>
      </c>
      <c r="F85" s="1">
        <v>24692000</v>
      </c>
      <c r="G85" s="1">
        <v>6616000</v>
      </c>
      <c r="H85" s="1">
        <v>52499000</v>
      </c>
      <c r="I85" s="1">
        <v>32978000</v>
      </c>
      <c r="P85" s="47" t="s">
        <v>126</v>
      </c>
      <c r="Q85" s="48">
        <f>I17</f>
        <v>0</v>
      </c>
    </row>
    <row r="86" spans="1:17" ht="20">
      <c r="A86" s="5" t="s">
        <v>72</v>
      </c>
      <c r="B86" s="1">
        <v>-52000</v>
      </c>
      <c r="C86" s="1">
        <v>-38000</v>
      </c>
      <c r="D86" s="1">
        <v>-101000</v>
      </c>
      <c r="E86" s="1">
        <v>8969000</v>
      </c>
      <c r="F86" s="1">
        <v>27132000</v>
      </c>
      <c r="G86" s="1">
        <v>49251000</v>
      </c>
      <c r="H86" s="1">
        <v>19874000</v>
      </c>
      <c r="I86" s="1">
        <v>34882000</v>
      </c>
      <c r="P86" s="47" t="s">
        <v>127</v>
      </c>
      <c r="Q86" s="48">
        <f>I56</f>
        <v>8686000</v>
      </c>
    </row>
    <row r="87" spans="1:17" ht="20">
      <c r="A87" s="6" t="s">
        <v>73</v>
      </c>
      <c r="B87" s="10">
        <v>-46961000</v>
      </c>
      <c r="C87" s="10">
        <v>-38078000</v>
      </c>
      <c r="D87" s="10">
        <v>-44881000</v>
      </c>
      <c r="E87" s="10">
        <v>-41989000</v>
      </c>
      <c r="F87" s="10">
        <v>-29540000</v>
      </c>
      <c r="G87" s="10">
        <v>-42673000</v>
      </c>
      <c r="H87" s="10">
        <v>6980000</v>
      </c>
      <c r="I87" s="10">
        <v>-12970000</v>
      </c>
      <c r="P87" s="47" t="s">
        <v>128</v>
      </c>
      <c r="Q87" s="48">
        <f>I61</f>
        <v>1207893000</v>
      </c>
    </row>
    <row r="88" spans="1:17" ht="20">
      <c r="A88" s="5" t="s">
        <v>74</v>
      </c>
      <c r="B88" s="1">
        <v>-468000</v>
      </c>
      <c r="C88" s="1">
        <v>-1683000</v>
      </c>
      <c r="D88" s="1">
        <v>-2135000</v>
      </c>
      <c r="E88" s="1">
        <v>-6848000</v>
      </c>
      <c r="F88" s="1">
        <v>-3564000</v>
      </c>
      <c r="G88" s="1">
        <v>-11773000</v>
      </c>
      <c r="H88" s="1">
        <v>-8072000</v>
      </c>
      <c r="I88" s="1">
        <v>-7244000</v>
      </c>
      <c r="P88" s="49" t="s">
        <v>129</v>
      </c>
      <c r="Q88" s="50">
        <f>Q85/(Q86+Q87)</f>
        <v>0</v>
      </c>
    </row>
    <row r="89" spans="1:17" ht="20" customHeight="1">
      <c r="A89" s="14" t="s">
        <v>104</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P89" s="47" t="s">
        <v>105</v>
      </c>
      <c r="Q89" s="48">
        <f>I27</f>
        <v>12144000</v>
      </c>
    </row>
    <row r="90" spans="1:17" ht="20">
      <c r="A90" s="5" t="s">
        <v>75</v>
      </c>
      <c r="B90" s="1" t="s">
        <v>91</v>
      </c>
      <c r="C90" s="1" t="s">
        <v>91</v>
      </c>
      <c r="D90" s="1" t="s">
        <v>91</v>
      </c>
      <c r="E90" s="1">
        <v>-56000000</v>
      </c>
      <c r="F90" s="1">
        <v>-39000000</v>
      </c>
      <c r="G90" s="1" t="s">
        <v>91</v>
      </c>
      <c r="H90" s="1">
        <v>-4469000</v>
      </c>
      <c r="I90" s="1">
        <v>0</v>
      </c>
      <c r="P90" s="47" t="s">
        <v>19</v>
      </c>
      <c r="Q90" s="48">
        <f>I25</f>
        <v>-333254000</v>
      </c>
    </row>
    <row r="91" spans="1:17" ht="20">
      <c r="A91" s="5" t="s">
        <v>76</v>
      </c>
      <c r="B91" s="1">
        <v>-117954000</v>
      </c>
      <c r="C91" s="1">
        <v>-82036000</v>
      </c>
      <c r="D91" s="1">
        <v>-252382000</v>
      </c>
      <c r="E91" s="1">
        <v>-547914000</v>
      </c>
      <c r="F91" s="1">
        <v>-429452000</v>
      </c>
      <c r="G91" s="1">
        <v>-990883000</v>
      </c>
      <c r="H91" s="1">
        <v>-1385258000</v>
      </c>
      <c r="I91" s="1">
        <v>-1444796600</v>
      </c>
      <c r="P91" s="49" t="s">
        <v>130</v>
      </c>
      <c r="Q91" s="50">
        <f>Q89/Q90</f>
        <v>-3.6440672880145478E-2</v>
      </c>
    </row>
    <row r="92" spans="1:17" ht="20">
      <c r="A92" s="5" t="s">
        <v>77</v>
      </c>
      <c r="B92" s="1">
        <v>38000000</v>
      </c>
      <c r="C92" s="1">
        <v>114775000</v>
      </c>
      <c r="D92" s="1">
        <v>82230000</v>
      </c>
      <c r="E92" s="1">
        <v>450000000</v>
      </c>
      <c r="F92" s="1">
        <v>470000000</v>
      </c>
      <c r="G92" s="1">
        <v>740000000</v>
      </c>
      <c r="H92" s="1">
        <v>550000000</v>
      </c>
      <c r="I92" s="1">
        <v>1425000000</v>
      </c>
      <c r="P92" s="49" t="s">
        <v>131</v>
      </c>
      <c r="Q92" s="50">
        <f>Q88*(1-Q91)</f>
        <v>0</v>
      </c>
    </row>
    <row r="93" spans="1:17" ht="19">
      <c r="A93" s="5" t="s">
        <v>78</v>
      </c>
      <c r="B93" s="1" t="s">
        <v>91</v>
      </c>
      <c r="C93" s="1" t="s">
        <v>91</v>
      </c>
      <c r="D93" s="1" t="s">
        <v>91</v>
      </c>
      <c r="E93" s="1">
        <v>483000</v>
      </c>
      <c r="F93" s="1">
        <v>371000</v>
      </c>
      <c r="G93" s="1" t="s">
        <v>91</v>
      </c>
      <c r="H93" s="1">
        <v>-4343000</v>
      </c>
      <c r="I93" s="1">
        <v>-3098000</v>
      </c>
      <c r="P93" s="71" t="s">
        <v>132</v>
      </c>
      <c r="Q93" s="71"/>
    </row>
    <row r="94" spans="1:17" ht="19" customHeight="1">
      <c r="A94" s="6" t="s">
        <v>79</v>
      </c>
      <c r="B94" s="10">
        <v>-80422000</v>
      </c>
      <c r="C94" s="10">
        <v>31056000</v>
      </c>
      <c r="D94" s="10">
        <v>-172287000</v>
      </c>
      <c r="E94" s="10">
        <v>-160279000</v>
      </c>
      <c r="F94" s="10">
        <v>-1645000</v>
      </c>
      <c r="G94" s="10">
        <v>-262656000</v>
      </c>
      <c r="H94" s="10">
        <v>-852142000</v>
      </c>
      <c r="I94" s="10">
        <v>-33308000</v>
      </c>
      <c r="P94" s="47" t="s">
        <v>133</v>
      </c>
      <c r="Q94" s="51">
        <f>[1]Treasuries!$C$8</f>
        <v>3.7679999999999998E-2</v>
      </c>
    </row>
    <row r="95" spans="1:17" ht="20">
      <c r="A95" s="5" t="s">
        <v>80</v>
      </c>
      <c r="B95" s="1" t="s">
        <v>91</v>
      </c>
      <c r="C95" s="1" t="s">
        <v>91</v>
      </c>
      <c r="D95" s="1" t="s">
        <v>91</v>
      </c>
      <c r="E95" s="1" t="s">
        <v>91</v>
      </c>
      <c r="F95" s="1">
        <v>-480985000</v>
      </c>
      <c r="G95" s="1">
        <v>-4633000</v>
      </c>
      <c r="H95" s="1">
        <v>-5572000</v>
      </c>
      <c r="I95" s="1">
        <v>-4510000</v>
      </c>
      <c r="P95" s="47" t="s">
        <v>134</v>
      </c>
      <c r="Q95" s="52" cm="1">
        <f t="array" ref="Q95">_FV(A1,"Beta")</f>
        <v>1.0947</v>
      </c>
    </row>
    <row r="96" spans="1:17" ht="20">
      <c r="A96" s="5" t="s">
        <v>81</v>
      </c>
      <c r="B96" s="1" t="s">
        <v>91</v>
      </c>
      <c r="C96" s="1" t="s">
        <v>91</v>
      </c>
      <c r="D96" s="1">
        <v>205494000</v>
      </c>
      <c r="E96" s="1" t="s">
        <v>91</v>
      </c>
      <c r="F96" s="1" t="s">
        <v>91</v>
      </c>
      <c r="G96" s="1" t="s">
        <v>91</v>
      </c>
      <c r="H96" s="1">
        <v>889184000</v>
      </c>
      <c r="I96" s="1">
        <v>34710000</v>
      </c>
      <c r="P96" s="47" t="s">
        <v>135</v>
      </c>
      <c r="Q96" s="51">
        <v>8.4000000000000005E-2</v>
      </c>
    </row>
    <row r="97" spans="1:21" ht="20">
      <c r="A97" s="5" t="s">
        <v>82</v>
      </c>
      <c r="B97" s="1" t="s">
        <v>91</v>
      </c>
      <c r="C97" s="1" t="s">
        <v>91</v>
      </c>
      <c r="D97" s="1" t="s">
        <v>91</v>
      </c>
      <c r="E97" s="1" t="s">
        <v>91</v>
      </c>
      <c r="F97" s="1" t="s">
        <v>91</v>
      </c>
      <c r="G97" s="1" t="s">
        <v>91</v>
      </c>
      <c r="H97" s="1" t="s">
        <v>91</v>
      </c>
      <c r="I97" s="1" t="s">
        <v>91</v>
      </c>
      <c r="P97" s="49" t="s">
        <v>136</v>
      </c>
      <c r="Q97" s="50">
        <f>(Q94)+((Q95)*(Q96-Q94))</f>
        <v>8.8386504000000005E-2</v>
      </c>
    </row>
    <row r="98" spans="1:21" ht="19">
      <c r="A98" s="5" t="s">
        <v>83</v>
      </c>
      <c r="B98" s="1" t="s">
        <v>91</v>
      </c>
      <c r="C98" s="1" t="s">
        <v>91</v>
      </c>
      <c r="D98" s="1" t="s">
        <v>91</v>
      </c>
      <c r="E98" s="1" t="s">
        <v>91</v>
      </c>
      <c r="F98" s="1" t="s">
        <v>91</v>
      </c>
      <c r="G98" s="1" t="s">
        <v>91</v>
      </c>
      <c r="H98" s="1" t="s">
        <v>91</v>
      </c>
      <c r="I98" s="1">
        <v>0</v>
      </c>
      <c r="P98" s="71" t="s">
        <v>137</v>
      </c>
      <c r="Q98" s="71"/>
    </row>
    <row r="99" spans="1:21" ht="19" customHeight="1">
      <c r="A99" s="5" t="s">
        <v>84</v>
      </c>
      <c r="B99" s="1">
        <v>3087000</v>
      </c>
      <c r="C99" s="1">
        <v>43114000</v>
      </c>
      <c r="D99" s="1">
        <v>4398000</v>
      </c>
      <c r="E99" s="1">
        <v>288236000</v>
      </c>
      <c r="F99" s="1">
        <v>1070223000</v>
      </c>
      <c r="G99" s="1">
        <v>32214000</v>
      </c>
      <c r="H99" s="1">
        <v>7280000</v>
      </c>
      <c r="I99" s="1">
        <v>0</v>
      </c>
      <c r="P99" s="47" t="s">
        <v>138</v>
      </c>
      <c r="Q99" s="48">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49" t="s">
        <v>139</v>
      </c>
      <c r="Q100" s="50">
        <f>Q99/Q103</f>
        <v>4.1017264150732653E-2</v>
      </c>
    </row>
    <row r="101" spans="1:21" ht="20">
      <c r="A101" s="5" t="s">
        <v>86</v>
      </c>
      <c r="B101" s="1">
        <v>-92000</v>
      </c>
      <c r="C101" s="1">
        <v>7000</v>
      </c>
      <c r="D101" s="1">
        <v>291000</v>
      </c>
      <c r="E101" s="1">
        <v>-48000</v>
      </c>
      <c r="F101" s="1">
        <v>306000</v>
      </c>
      <c r="G101" s="1">
        <v>1264000</v>
      </c>
      <c r="H101" s="1">
        <v>-1532000</v>
      </c>
      <c r="I101" s="1">
        <v>-2003000</v>
      </c>
      <c r="P101" s="47" t="s">
        <v>140</v>
      </c>
      <c r="Q101" s="53" cm="1">
        <f t="array" ref="Q101">_FV(A1,"Market cap",TRUE)</f>
        <v>28443590326</v>
      </c>
    </row>
    <row r="102" spans="1:21" ht="20">
      <c r="A102" s="6" t="s">
        <v>87</v>
      </c>
      <c r="B102" s="10">
        <v>-124388000</v>
      </c>
      <c r="C102" s="10">
        <v>36099000</v>
      </c>
      <c r="D102" s="10">
        <v>-6985000</v>
      </c>
      <c r="E102" s="10">
        <v>85920000</v>
      </c>
      <c r="F102" s="10">
        <v>558359000</v>
      </c>
      <c r="G102" s="10">
        <v>-276484000</v>
      </c>
      <c r="H102" s="10">
        <v>44198000</v>
      </c>
      <c r="I102" s="10">
        <v>-18081000</v>
      </c>
      <c r="P102" s="49" t="s">
        <v>141</v>
      </c>
      <c r="Q102" s="50">
        <f>Q101/Q103</f>
        <v>0.9589827358492673</v>
      </c>
    </row>
    <row r="103" spans="1:21" ht="20">
      <c r="A103" s="5" t="s">
        <v>88</v>
      </c>
      <c r="B103" s="1">
        <v>157701000</v>
      </c>
      <c r="C103" s="1">
        <v>33313000</v>
      </c>
      <c r="D103" s="1">
        <v>69412000</v>
      </c>
      <c r="E103" s="1">
        <v>62427000</v>
      </c>
      <c r="F103" s="1">
        <v>148347000</v>
      </c>
      <c r="G103" s="1">
        <v>706706000</v>
      </c>
      <c r="H103" s="1">
        <v>430222000</v>
      </c>
      <c r="I103" s="1">
        <v>474000000</v>
      </c>
      <c r="P103" s="49" t="s">
        <v>142</v>
      </c>
      <c r="Q103" s="54">
        <f>Q99+Q101</f>
        <v>29660169326</v>
      </c>
    </row>
    <row r="104" spans="1:21" ht="20" thickBot="1">
      <c r="A104" s="7" t="s">
        <v>89</v>
      </c>
      <c r="B104" s="11">
        <v>33313000</v>
      </c>
      <c r="C104" s="11">
        <v>69412000</v>
      </c>
      <c r="D104" s="11">
        <v>62427000</v>
      </c>
      <c r="E104" s="11">
        <v>148347000</v>
      </c>
      <c r="F104" s="11">
        <v>706706000</v>
      </c>
      <c r="G104" s="11">
        <v>430222000</v>
      </c>
      <c r="H104" s="11">
        <v>474420000</v>
      </c>
      <c r="I104" s="11">
        <v>456339000</v>
      </c>
      <c r="P104" s="71" t="s">
        <v>143</v>
      </c>
      <c r="Q104" s="71"/>
    </row>
    <row r="105" spans="1:21" ht="21" thickTop="1">
      <c r="A105" s="14" t="s">
        <v>159</v>
      </c>
      <c r="B105" s="1">
        <f t="shared" ref="B105:H105" si="23">(B22*(1-0.2))+B77+B88+B81</f>
        <v>-44866400</v>
      </c>
      <c r="C105" s="1">
        <f t="shared" si="23"/>
        <v>-42799600</v>
      </c>
      <c r="D105" s="1">
        <f t="shared" si="23"/>
        <v>-49302600</v>
      </c>
      <c r="E105" s="1">
        <f t="shared" si="23"/>
        <v>-69450000</v>
      </c>
      <c r="F105" s="1">
        <f t="shared" si="23"/>
        <v>-75490800</v>
      </c>
      <c r="G105" s="1">
        <f t="shared" si="23"/>
        <v>-153145200</v>
      </c>
      <c r="H105" s="1">
        <f>(H22*(1-0.2))+H77+H88+H81</f>
        <v>-194081200</v>
      </c>
      <c r="I105" s="1">
        <f>(I22*(1-0.2))+I77+I88+I81</f>
        <v>-243817000</v>
      </c>
      <c r="J105" s="28">
        <f>I105*(1+$Q$106)</f>
        <v>-297947599.00797939</v>
      </c>
      <c r="K105" s="28">
        <f t="shared" ref="K105:N105" si="24">J105*(1+$Q$106)</f>
        <v>-364095906.99015939</v>
      </c>
      <c r="L105" s="28">
        <f t="shared" si="24"/>
        <v>-444930014.29904634</v>
      </c>
      <c r="M105" s="28">
        <f t="shared" si="24"/>
        <v>-543710362.6366775</v>
      </c>
      <c r="N105" s="28">
        <f t="shared" si="24"/>
        <v>-664421254.88934672</v>
      </c>
      <c r="O105" s="29" t="s">
        <v>162</v>
      </c>
      <c r="P105" s="55" t="s">
        <v>106</v>
      </c>
      <c r="Q105" s="56">
        <f>(Q100*Q92)+(Q102*Q97)</f>
        <v>8.4761131418072205E-2</v>
      </c>
      <c r="R105" s="15"/>
      <c r="S105" s="15"/>
      <c r="T105" s="15"/>
      <c r="U105" s="15"/>
    </row>
    <row r="106" spans="1:21" ht="19">
      <c r="A106" s="14" t="s">
        <v>160</v>
      </c>
      <c r="B106" s="1"/>
      <c r="C106" s="15">
        <f t="shared" ref="C106:I106" si="25">(C107/B107)-1</f>
        <v>-0.16167323789242871</v>
      </c>
      <c r="D106" s="15">
        <f t="shared" si="25"/>
        <v>0.18246522974774271</v>
      </c>
      <c r="E106" s="15">
        <f t="shared" si="25"/>
        <v>3.8731495661051607E-2</v>
      </c>
      <c r="F106" s="15">
        <f t="shared" si="25"/>
        <v>-0.32215328541884225</v>
      </c>
      <c r="G106" s="15">
        <f t="shared" si="25"/>
        <v>0.64469550507491546</v>
      </c>
      <c r="H106" s="15">
        <f t="shared" si="25"/>
        <v>-0.97994343018770891</v>
      </c>
      <c r="I106" s="15">
        <f t="shared" si="25"/>
        <v>17.510989010989011</v>
      </c>
      <c r="J106" s="31">
        <v>147800000</v>
      </c>
      <c r="K106" s="31">
        <v>210800000</v>
      </c>
      <c r="L106" s="31">
        <v>327100000</v>
      </c>
      <c r="M106" s="31">
        <v>416000000</v>
      </c>
      <c r="N106" s="31">
        <v>621500000</v>
      </c>
      <c r="O106" s="29" t="s">
        <v>163</v>
      </c>
      <c r="P106" s="57" t="s">
        <v>144</v>
      </c>
      <c r="Q106" s="58">
        <f>(SUM(J4:N4)/5)</f>
        <v>0.22201322716619179</v>
      </c>
    </row>
    <row r="107" spans="1:21" ht="19">
      <c r="A107" s="44" t="s">
        <v>161</v>
      </c>
      <c r="B107" s="1">
        <v>-47429000</v>
      </c>
      <c r="C107" s="1">
        <v>-39761000</v>
      </c>
      <c r="D107" s="1">
        <v>-47016000</v>
      </c>
      <c r="E107" s="1">
        <v>-48837000</v>
      </c>
      <c r="F107" s="1">
        <v>-33104000</v>
      </c>
      <c r="G107" s="1">
        <v>-54446000</v>
      </c>
      <c r="H107" s="1">
        <v>-1092000</v>
      </c>
      <c r="I107" s="1">
        <v>-20214000</v>
      </c>
      <c r="J107" s="29"/>
      <c r="K107" s="29"/>
      <c r="L107" s="29"/>
      <c r="M107" s="29"/>
      <c r="N107" s="32">
        <f>N106*(1+Q107)/(Q108-Q107)</f>
        <v>10659729574.787722</v>
      </c>
      <c r="O107" s="30" t="s">
        <v>145</v>
      </c>
      <c r="P107" s="59" t="s">
        <v>146</v>
      </c>
      <c r="Q107" s="60">
        <v>2.5000000000000001E-2</v>
      </c>
    </row>
    <row r="108" spans="1:21" ht="19">
      <c r="J108" s="32">
        <f t="shared" ref="J108:M108" si="26">J107+J106</f>
        <v>147800000</v>
      </c>
      <c r="K108" s="32">
        <f t="shared" si="26"/>
        <v>210800000</v>
      </c>
      <c r="L108" s="32">
        <f t="shared" si="26"/>
        <v>327100000</v>
      </c>
      <c r="M108" s="32">
        <f t="shared" si="26"/>
        <v>416000000</v>
      </c>
      <c r="N108" s="32">
        <f>N107+N106</f>
        <v>11281229574.787722</v>
      </c>
      <c r="O108" s="30" t="s">
        <v>142</v>
      </c>
      <c r="P108" s="61" t="s">
        <v>147</v>
      </c>
      <c r="Q108" s="58">
        <f>Q105</f>
        <v>8.4761131418072205E-2</v>
      </c>
    </row>
    <row r="109" spans="1:21" ht="19">
      <c r="J109" s="68" t="s">
        <v>148</v>
      </c>
      <c r="K109" s="68"/>
    </row>
    <row r="110" spans="1:21" ht="20">
      <c r="J110" s="62" t="s">
        <v>149</v>
      </c>
      <c r="K110" s="53">
        <f>NPV(Q108,J108,K108,L108,M108,N108)</f>
        <v>8382887246.2119761</v>
      </c>
    </row>
    <row r="111" spans="1:21" ht="20">
      <c r="J111" s="62" t="s">
        <v>150</v>
      </c>
      <c r="K111" s="53">
        <f>I40</f>
        <v>1836630000</v>
      </c>
    </row>
    <row r="112" spans="1:21" ht="20">
      <c r="J112" s="62" t="s">
        <v>138</v>
      </c>
      <c r="K112" s="53">
        <f>Q99</f>
        <v>1216579000</v>
      </c>
    </row>
    <row r="113" spans="10:11" ht="20">
      <c r="J113" s="62" t="s">
        <v>151</v>
      </c>
      <c r="K113" s="53">
        <f>K110+K111-K112</f>
        <v>9002938246.2119751</v>
      </c>
    </row>
    <row r="114" spans="10:11" ht="20">
      <c r="J114" s="62" t="s">
        <v>164</v>
      </c>
      <c r="K114" s="62">
        <f>I34*(1+(0.05*5))</f>
        <v>85785333.75</v>
      </c>
    </row>
    <row r="115" spans="10:11" ht="20">
      <c r="J115" s="63" t="s">
        <v>152</v>
      </c>
      <c r="K115" s="64">
        <f>K113/K114</f>
        <v>104.94728938688748</v>
      </c>
    </row>
    <row r="116" spans="10:11" ht="20">
      <c r="J116" s="62" t="s">
        <v>153</v>
      </c>
      <c r="K116" s="65" cm="1">
        <f t="array" ref="K116">_FV(A1,"Price")</f>
        <v>402.99</v>
      </c>
    </row>
    <row r="117" spans="10:11" ht="20">
      <c r="J117" s="63" t="s">
        <v>154</v>
      </c>
      <c r="K117" s="66">
        <f>K115/K116-1</f>
        <v>-0.73957842778508787</v>
      </c>
    </row>
    <row r="118" spans="10:11" ht="20">
      <c r="J118" s="63" t="s">
        <v>155</v>
      </c>
      <c r="K118" s="67"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 ref="O106" r:id="rId18" xr:uid="{8F97825E-3939-5041-84EE-CA3B2EDB413D}"/>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2023-06-30T02:03:03Z</dcterms:modified>
</cp:coreProperties>
</file>