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1BE8EC2-BC53-504C-B0A3-AA6EAEFA65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F105" i="1"/>
  <c r="G105" i="1" s="1"/>
  <c r="H105" i="1" s="1"/>
  <c r="I105" i="1" s="1"/>
  <c r="J105" i="1" s="1"/>
  <c r="C105" i="1"/>
  <c r="D105" i="1"/>
  <c r="E105" i="1"/>
  <c r="F30" i="1"/>
  <c r="G30" i="1"/>
  <c r="H30" i="1"/>
  <c r="I30" i="1"/>
  <c r="J30" i="1"/>
  <c r="F21" i="1"/>
  <c r="G21" i="1"/>
  <c r="H21" i="1"/>
  <c r="I21" i="1"/>
  <c r="J21" i="1"/>
  <c r="L4" i="1"/>
  <c r="M4" i="1"/>
  <c r="K4" i="1"/>
  <c r="F20" i="1"/>
  <c r="G20" i="1"/>
  <c r="H20" i="1"/>
  <c r="I20" i="1"/>
  <c r="J20" i="1"/>
  <c r="F29" i="1"/>
  <c r="G29" i="1"/>
  <c r="H29" i="1"/>
  <c r="I29" i="1"/>
  <c r="J29" i="1"/>
  <c r="G116" i="1" a="1"/>
  <c r="G116" i="1" s="1"/>
  <c r="M101" i="1" a="1"/>
  <c r="M101" i="1" s="1"/>
  <c r="M19" i="1" s="1"/>
  <c r="M95" i="1" a="1"/>
  <c r="M95" i="1" s="1"/>
  <c r="M86" i="1"/>
  <c r="G111" i="1"/>
  <c r="M90" i="1"/>
  <c r="M89" i="1"/>
  <c r="M91" i="1" s="1"/>
  <c r="M87" i="1"/>
  <c r="M99" i="1" s="1"/>
  <c r="M85" i="1"/>
  <c r="M22" i="1" l="1"/>
  <c r="N19" i="1"/>
  <c r="N22" i="1"/>
  <c r="L19" i="1"/>
  <c r="G112" i="1"/>
  <c r="M103" i="1"/>
  <c r="M100" i="1" s="1"/>
  <c r="M92" i="1"/>
  <c r="M102" i="1" l="1"/>
  <c r="K16" i="1" l="1"/>
  <c r="H4" i="1"/>
  <c r="I4" i="1"/>
  <c r="J4" i="1"/>
  <c r="E7" i="1"/>
  <c r="K7" i="1" s="1"/>
  <c r="K19" i="1"/>
  <c r="N16" i="1"/>
  <c r="M16" i="1"/>
  <c r="L16" i="1"/>
  <c r="N13" i="1"/>
  <c r="M13" i="1"/>
  <c r="L13" i="1"/>
  <c r="K13" i="1"/>
  <c r="N10" i="1"/>
  <c r="M10" i="1"/>
  <c r="L10" i="1"/>
  <c r="K10" i="1"/>
  <c r="N7" i="1"/>
  <c r="M7" i="1"/>
  <c r="L7"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6" i="1"/>
  <c r="E18" i="1"/>
  <c r="E40" i="1"/>
  <c r="E30" i="1"/>
  <c r="E26" i="1"/>
  <c r="E23" i="1"/>
  <c r="E21" i="1"/>
  <c r="E16" i="1"/>
  <c r="E12" i="1"/>
  <c r="E13" i="1" s="1"/>
  <c r="M94" i="1" l="1"/>
  <c r="M97" i="1" s="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<sst xmlns="http://schemas.openxmlformats.org/spreadsheetml/2006/main" count="328" uniqueCount="167">
  <si>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</si>
  <si>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</si>
  <si>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</si>
  <si>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</si>
  <si>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</si>
  <si>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</si>
  <si>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</si>
  <si>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</si>
  <si>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</si>
  <si>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</si>
  <si>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</si>
  <si>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</si>
  <si>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</si>
  <si>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</si>
  <si>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</si>
  <si>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</si>
  <si>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</si>
  <si>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</si>
  <si>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</si>
  <si>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</si>
  <si>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</si>
  <si>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</si>
  <si>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</si>
  <si>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</si>
  <si>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</si>
  <si>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</si>
  <si>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</si>
  <si>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</si>
  <si>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</si>
  <si>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</si>
  <si>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</si>
  <si>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</si>
  <si>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</si>
  <si>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</si>
  <si>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</si>
  <si>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</si>
  <si>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</si>
  <si>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</si>
  <si>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</si>
  <si>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</si>
  <si>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</si>
  <si>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</si>
  <si>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</si>
  <si>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</si>
  <si>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</si>
  <si>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</si>
  <si>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</si>
  <si>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</si>
  <si>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</si>
  <si>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</si>
  <si>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</si>
  <si>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</si>
  <si>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</si>
  <si>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</si>
  <si>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</si>
  <si>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</si>
  <si>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</si>
  <si>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</si>
  <si>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</si>
  <si>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</si>
  <si>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</si>
  <si>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</si>
  <si>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</si>
  <si>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</si>
  <si>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</si>
  <si>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</si>
  <si>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</si>
  <si>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</si>
  <si>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</si>
  <si>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</si>
  <si>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</si>
  <si>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</si>
  <si>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</si>
  <si>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</si>
  <si>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</si>
  <si>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</si>
  <si>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</si>
  <si>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</si>
  <si>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</si>
  <si>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</si>
  <si>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</si>
  <si>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</si>
  <si>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</si>
  <si>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</si>
  <si>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</si>
  <si>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</si>
  <si>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</si>
  <si>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</si>
  <si>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</si>
  <si>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</si>
  <si>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</si>
  <si>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</si>
  <si>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</si>
  <si>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</si>
  <si>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</si>
  <si>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</si>
  <si>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</si>
  <si>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</si>
  <si>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</si>
  <si>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</si>
  <si>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</si>
  <si>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</si>
  <si>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</si>
  <si>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</si>
  <si>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</si>
  <si>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</si>
  <si>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</si>
  <si>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</si>
  <si>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</si>
  <si>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</si>
  <si>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</si>
  <si>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</si>
  <si>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</si>
  <si>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</si>
  <si>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</si>
  <si>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</si>
  <si>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</si>
  <si>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</si>
  <si>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</si>
  <si>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</si>
  <si>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</si>
  <si>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</si>
  <si>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</si>
  <si>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</si>
  <si>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</si>
  <si>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</si>
  <si>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</si>
  <si>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</si>
  <si>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</si>
  <si>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</si>
  <si>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</si>
  <si>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</si>
  <si>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</si>
  <si>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</si>
  <si>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</si>
  <si>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</si>
  <si>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</si>
  <si>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</si>
  <si>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</si>
  <si>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</si>
  <si>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</si>
  <si>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</si>
  <si>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</si>
  <si>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</si>
  <si>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</si>
  <si>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</si>
  <si>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</si>
  <si>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</si>
  <si>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</si>
  <si>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</si>
  <si>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</si>
  <si>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</si>
  <si>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</si>
  <si>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</si>
  <si>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</si>
  <si>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</si>
  <si>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</si>
  <si>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</si>
  <si>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</si>
  <si>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</si>
  <si>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</si>
  <si>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Proj</t>
  </si>
  <si>
    <t>Unlevered FCF Forecast</t>
  </si>
  <si>
    <t>Shares (5% dilution)</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</si>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</sst>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0" xfId="0" applyNumberFormat="1" applyFont="1" applyBorder="1"/>
    <xf numFmtId="0" fontId="1" fillId="0" borderId="0" xfId="0" applyFont="1" applyAlignment="1">
      <alignment indent="1"/>
    </xf>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SentinelOne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450278980028155E-2"/>
          <c:y val="0.14021424261933194"/>
          <c:w val="0.86359607863586585"/>
          <c:h val="0.71619486794677145"/>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1'!$C$107:$E$107</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min val="-3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33338</xdr:rowOff>
    </xdr:from>
    <xdr:to>
      <xdr:col>12</xdr:col>
      <xdr:colOff>1587500</xdr:colOff>
      <xdr:row>125</xdr:row>
      <xdr:rowOff>190500</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12.43</v>
    <v>1.8680000000000001</v>
    <v>0.24</v>
    <v>1.6150999999999999E-2</v>
    <v>-0.01</v>
    <v>-6.623E-4</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15.6</v>
    <v>Software &amp; IT Services</v>
    <v>Stock</v>
    <v>45107.996368275002</v>
    <v>0</v>
    <v>15.02</v>
    <v>4409609210</v>
    <v>SENTINELONE, INC.</v>
    <v>SENTINELONE, INC.</v>
    <v>15.02</v>
    <v>0</v>
    <v>14.86</v>
    <v>15.1</v>
    <v>15.09</v>
    <v>292027100</v>
    <v>S</v>
    <v>SENTINELONE, INC. (XNYS:S)</v>
    <v>9353750</v>
    <v>12158207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4" activePane="bottomRight" state="frozen"/>
      <selection pane="topRight"/>
      <selection pane="bottomLeft"/>
      <selection pane="bottomRight" activeCell="F103" sqref="F10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595000000</v>
      </c>
      <c r="G3" s="24">
        <v>797700000</v>
      </c>
      <c r="H3" s="24">
        <v>1109000000</v>
      </c>
      <c r="I3" s="24">
        <v>1303000000</v>
      </c>
      <c r="J3" s="24">
        <v>1591000000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0.40935479974134203</v>
      </c>
      <c r="G4" s="16">
        <f t="shared" si="0"/>
        <v>0.34067226890756297</v>
      </c>
      <c r="H4" s="16">
        <f t="shared" ref="H4" si="1">(H3/G3)-1</f>
        <v>0.3902469600100289</v>
      </c>
      <c r="I4" s="16">
        <f t="shared" ref="I4" si="2">(I3/H3)-1</f>
        <v>0.17493237150586105</v>
      </c>
      <c r="J4" s="16">
        <f t="shared" ref="J4" si="3">(J3/I3)-1</f>
        <v>0.22102839600920943</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19" t="s">
        <v>109</v>
      </c>
      <c r="L6" s="20" t="s">
        <v>110</v>
      </c>
      <c r="M6" s="20" t="s">
        <v>111</v>
      </c>
      <c r="N6" s="20" t="s">
        <v>112</v>
      </c>
    </row>
    <row r="7" spans="1:38" ht="19" x14ac:dyDescent="0.25">
      <c r="A7" s="5" t="s">
        <v>4</v>
      </c>
      <c r="B7" s="2" t="s">
        <v>91</v>
      </c>
      <c r="C7" s="2">
        <v>0.57730000000000004</v>
      </c>
      <c r="D7" s="2">
        <v>0.60119999999999996</v>
      </c>
      <c r="E7" s="2">
        <f>E6/E3</f>
        <v>0.6584931983826765</v>
      </c>
      <c r="F7" s="2">
        <v>0.67500000000000004</v>
      </c>
      <c r="K7" s="17">
        <f>E7</f>
        <v>0.6584931983826765</v>
      </c>
      <c r="L7" s="21">
        <f>E21</f>
        <v>-0.91020870294353817</v>
      </c>
      <c r="M7" s="21">
        <f>E30</f>
        <v>-0.89626674941197926</v>
      </c>
      <c r="N7" s="21">
        <f>E107/E3</f>
        <v>-0.49276017992368165</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34">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117</v>
      </c>
      <c r="L15" s="20" t="s">
        <v>118</v>
      </c>
      <c r="M15" s="20" t="s">
        <v>119</v>
      </c>
      <c r="N15" s="20" t="s">
        <v>120</v>
      </c>
    </row>
    <row r="16" spans="1:38" ht="19" x14ac:dyDescent="0.25">
      <c r="A16" s="5" t="s">
        <v>11</v>
      </c>
      <c r="B16" s="1" t="s">
        <v>91</v>
      </c>
      <c r="C16" s="1">
        <v>208575000</v>
      </c>
      <c r="D16" s="1">
        <v>472031000</v>
      </c>
      <c r="E16" s="1">
        <f>E15+E5</f>
        <v>824755000</v>
      </c>
      <c r="K16" s="25">
        <f>(E35+D35)/2</f>
        <v>0.17944553344566033</v>
      </c>
      <c r="L16" s="33">
        <f>M101/E3</f>
        <v>10.444880512768281</v>
      </c>
      <c r="M16" s="33">
        <f>M101/E28</f>
        <v>-11.653763257000145</v>
      </c>
      <c r="N16" s="35">
        <f>M101/E107</f>
        <v>-21.196681343825258</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121</v>
      </c>
      <c r="L18" s="20" t="s">
        <v>156</v>
      </c>
      <c r="M18" s="20" t="s">
        <v>157</v>
      </c>
      <c r="N18" s="20" t="s">
        <v>164</v>
      </c>
    </row>
    <row r="19" spans="1:14" ht="19" x14ac:dyDescent="0.25">
      <c r="A19" s="6" t="s">
        <v>14</v>
      </c>
      <c r="B19" s="10" t="s">
        <v>91</v>
      </c>
      <c r="C19" s="10">
        <v>-112875000</v>
      </c>
      <c r="D19" s="10">
        <v>-261401000</v>
      </c>
      <c r="E19" s="10">
        <v>-384271000</v>
      </c>
      <c r="F19" s="27">
        <v>-148400000</v>
      </c>
      <c r="G19" s="27">
        <v>-28900000</v>
      </c>
      <c r="H19" s="27">
        <v>86792000</v>
      </c>
      <c r="I19" s="27">
        <v>134600000</v>
      </c>
      <c r="J19" s="27">
        <v>243900000</v>
      </c>
      <c r="K19" s="26">
        <f>E40-E56-E61</f>
        <v>623525000</v>
      </c>
      <c r="L19" s="33">
        <f>M101/F3</f>
        <v>7.4111079159663866</v>
      </c>
      <c r="M19" s="36">
        <f>M101/F28</f>
        <v>-30.12028148907104</v>
      </c>
      <c r="N19" s="35">
        <f>M101/F106</f>
        <v>-54.098996564838671</v>
      </c>
    </row>
    <row r="20" spans="1:14" ht="19" customHeight="1" x14ac:dyDescent="0.25">
      <c r="A20" s="14" t="s">
        <v>100</v>
      </c>
      <c r="B20" s="1"/>
      <c r="C20" s="15">
        <v>0</v>
      </c>
      <c r="D20" s="15">
        <f>(D19/C19)-1</f>
        <v>1.3158449612403103</v>
      </c>
      <c r="E20" s="15">
        <f>(E19/D19)-1</f>
        <v>0.47004410847701417</v>
      </c>
      <c r="F20" s="16">
        <f t="shared" ref="F20:J20" si="6">(F19/E19)-1</f>
        <v>-0.61381420924295615</v>
      </c>
      <c r="G20" s="16">
        <f t="shared" si="6"/>
        <v>-0.80525606469002697</v>
      </c>
      <c r="H20" s="16">
        <f t="shared" si="6"/>
        <v>-4.0031833910034607</v>
      </c>
      <c r="I20" s="16">
        <f t="shared" si="6"/>
        <v>0.55083417826527792</v>
      </c>
      <c r="J20" s="16">
        <f t="shared" si="6"/>
        <v>0.81203566121842496</v>
      </c>
    </row>
    <row r="21" spans="1:14" ht="20" x14ac:dyDescent="0.25">
      <c r="A21" s="5" t="s">
        <v>15</v>
      </c>
      <c r="B21" s="2" t="s">
        <v>91</v>
      </c>
      <c r="C21" s="2">
        <v>-1.2130000000000001</v>
      </c>
      <c r="D21" s="2">
        <v>-1.2764</v>
      </c>
      <c r="E21" s="2">
        <f>E19/E3</f>
        <v>-0.91020870294353817</v>
      </c>
      <c r="F21" s="39">
        <f t="shared" ref="F21:J21" si="7">F19/F3</f>
        <v>-0.24941176470588236</v>
      </c>
      <c r="G21" s="39">
        <f t="shared" si="7"/>
        <v>-3.6229158831640969E-2</v>
      </c>
      <c r="H21" s="39">
        <f t="shared" si="7"/>
        <v>7.8261496844003603E-2</v>
      </c>
      <c r="I21" s="39">
        <f t="shared" si="7"/>
        <v>0.10330007674597083</v>
      </c>
      <c r="J21" s="39">
        <f t="shared" si="7"/>
        <v>0.15329981143934632</v>
      </c>
      <c r="M21" s="19" t="s">
        <v>165</v>
      </c>
      <c r="N21" s="20" t="s">
        <v>166</v>
      </c>
    </row>
    <row r="22" spans="1:14" ht="19" x14ac:dyDescent="0.25">
      <c r="A22" s="6" t="s">
        <v>16</v>
      </c>
      <c r="B22" s="10" t="s">
        <v>91</v>
      </c>
      <c r="C22" s="10">
        <v>-115519000</v>
      </c>
      <c r="D22" s="10">
        <v>-267232000</v>
      </c>
      <c r="E22" s="10">
        <v>-402576000</v>
      </c>
      <c r="M22" s="41">
        <f>(-1*E98)/M101</f>
        <v>0</v>
      </c>
      <c r="N22" s="42">
        <f>E107/M101</f>
        <v>-4.7177196457279712E-2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37">
        <v>-146400000</v>
      </c>
      <c r="G28" s="37">
        <v>-10510000</v>
      </c>
      <c r="H28" s="37">
        <v>92695000</v>
      </c>
      <c r="I28" s="37">
        <v>172000000</v>
      </c>
      <c r="J28" s="37">
        <v>326000000</v>
      </c>
    </row>
    <row r="29" spans="1:14" ht="20" customHeight="1" thickTop="1" x14ac:dyDescent="0.25">
      <c r="A29" s="14" t="s">
        <v>101</v>
      </c>
      <c r="B29" s="1"/>
      <c r="C29" s="15">
        <v>0</v>
      </c>
      <c r="D29" s="15">
        <f>(D28/C28)-1</f>
        <v>1.3058100073996579</v>
      </c>
      <c r="E29" s="15">
        <f>(E28/D28)-1</f>
        <v>0.39573443107919193</v>
      </c>
      <c r="F29" s="16">
        <f t="shared" ref="F29:J29" si="8">(F28/E28)-1</f>
        <v>-0.61309248516722392</v>
      </c>
      <c r="G29" s="16">
        <f t="shared" si="8"/>
        <v>-0.92821038251366117</v>
      </c>
      <c r="H29" s="16">
        <f t="shared" si="8"/>
        <v>-9.8196955280685057</v>
      </c>
      <c r="I29" s="16">
        <f t="shared" si="8"/>
        <v>0.85554776417282485</v>
      </c>
      <c r="J29" s="16">
        <f t="shared" si="8"/>
        <v>0.89534883720930236</v>
      </c>
    </row>
    <row r="30" spans="1:14" ht="19" x14ac:dyDescent="0.25">
      <c r="A30" s="5" t="s">
        <v>23</v>
      </c>
      <c r="B30" s="2" t="s">
        <v>91</v>
      </c>
      <c r="C30" s="2">
        <v>-1.2635000000000001</v>
      </c>
      <c r="D30" s="2">
        <v>-1.3237000000000001</v>
      </c>
      <c r="E30" s="2">
        <f>E28/E3</f>
        <v>-0.89626674941197926</v>
      </c>
      <c r="F30" s="38">
        <f t="shared" ref="F30:J30" si="9">F28/F3</f>
        <v>-0.24605042016806722</v>
      </c>
      <c r="G30" s="38">
        <f t="shared" si="9"/>
        <v>-1.3175379215243825E-2</v>
      </c>
      <c r="H30" s="38">
        <f t="shared" si="9"/>
        <v>8.3584310189359787E-2</v>
      </c>
      <c r="I30" s="38">
        <f t="shared" si="9"/>
        <v>0.13200306983883345</v>
      </c>
      <c r="J30" s="38">
        <f t="shared" si="9"/>
        <v>0.20490257699560024</v>
      </c>
    </row>
    <row r="31" spans="1:14" ht="19" x14ac:dyDescent="0.25">
      <c r="A31" s="5" t="s">
        <v>24</v>
      </c>
      <c r="B31" s="12" t="s">
        <v>91</v>
      </c>
      <c r="C31" s="12">
        <v>-0.57999999999999996</v>
      </c>
      <c r="D31" s="12">
        <v>-1.03</v>
      </c>
      <c r="E31" s="12">
        <v>-1.36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row>
    <row r="34" spans="1:6" ht="19" x14ac:dyDescent="0.25">
      <c r="A34" s="5" t="s">
        <v>27</v>
      </c>
      <c r="B34" s="1" t="s">
        <v>91</v>
      </c>
      <c r="C34" s="1">
        <v>204433503</v>
      </c>
      <c r="D34" s="1">
        <v>204433503</v>
      </c>
      <c r="E34" s="1">
        <v>277802861</v>
      </c>
    </row>
    <row r="35" spans="1:6" ht="20" customHeight="1" x14ac:dyDescent="0.25">
      <c r="A35" s="14" t="s">
        <v>102</v>
      </c>
      <c r="B35" s="1"/>
      <c r="C35" s="22" t="e">
        <f>(C34-B34)/B34</f>
        <v>#VALUE!</v>
      </c>
      <c r="D35" s="22">
        <f t="shared" ref="D35:E35" si="10">(D34-C34)/C34</f>
        <v>0</v>
      </c>
      <c r="E35" s="22">
        <f t="shared" si="10"/>
        <v>0.35889106689132066</v>
      </c>
      <c r="F35" s="22"/>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21" x14ac:dyDescent="0.25">
      <c r="A83" s="5" t="s">
        <v>34</v>
      </c>
      <c r="B83" s="1" t="s">
        <v>91</v>
      </c>
      <c r="C83" s="1" t="s">
        <v>91</v>
      </c>
      <c r="D83" s="1" t="s">
        <v>91</v>
      </c>
      <c r="E83" s="1" t="s">
        <v>91</v>
      </c>
      <c r="L83" s="65" t="s">
        <v>122</v>
      </c>
      <c r="M83" s="66"/>
    </row>
    <row r="84" spans="1:13" ht="19" x14ac:dyDescent="0.25">
      <c r="A84" s="5" t="s">
        <v>47</v>
      </c>
      <c r="B84" s="1" t="s">
        <v>91</v>
      </c>
      <c r="C84" s="1">
        <v>7429000</v>
      </c>
      <c r="D84" s="1">
        <v>-2076000</v>
      </c>
      <c r="E84" s="1">
        <v>3670000</v>
      </c>
      <c r="L84" s="67" t="s">
        <v>123</v>
      </c>
      <c r="M84" s="67"/>
    </row>
    <row r="85" spans="1:13" ht="20" x14ac:dyDescent="0.25">
      <c r="A85" s="5" t="s">
        <v>71</v>
      </c>
      <c r="B85" s="1" t="s">
        <v>91</v>
      </c>
      <c r="C85" s="1">
        <v>22131000</v>
      </c>
      <c r="D85" s="1">
        <v>61577000</v>
      </c>
      <c r="E85" s="1"/>
      <c r="L85" s="43" t="s">
        <v>124</v>
      </c>
      <c r="M85" s="44">
        <f>E17</f>
        <v>-1830000</v>
      </c>
    </row>
    <row r="86" spans="1:13" ht="20" x14ac:dyDescent="0.25">
      <c r="A86" s="5" t="s">
        <v>72</v>
      </c>
      <c r="B86" s="1" t="s">
        <v>91</v>
      </c>
      <c r="C86" s="1">
        <v>14581000</v>
      </c>
      <c r="D86" s="1">
        <v>24076000</v>
      </c>
      <c r="E86" s="1">
        <v>-12217000</v>
      </c>
      <c r="L86" s="43" t="s">
        <v>125</v>
      </c>
      <c r="M86" s="44">
        <f>E56</f>
        <v>0</v>
      </c>
    </row>
    <row r="87" spans="1:13" ht="20" x14ac:dyDescent="0.25">
      <c r="A87" s="6" t="s">
        <v>73</v>
      </c>
      <c r="B87" s="10" t="s">
        <v>91</v>
      </c>
      <c r="C87" s="10">
        <v>-66570000</v>
      </c>
      <c r="D87" s="10">
        <v>-95588000</v>
      </c>
      <c r="E87" s="10">
        <v>-193287000</v>
      </c>
      <c r="L87" s="43" t="s">
        <v>126</v>
      </c>
      <c r="M87" s="44">
        <f>E61</f>
        <v>0</v>
      </c>
    </row>
    <row r="88" spans="1:13" ht="20" x14ac:dyDescent="0.25">
      <c r="A88" s="5" t="s">
        <v>74</v>
      </c>
      <c r="B88" s="1" t="s">
        <v>91</v>
      </c>
      <c r="C88" s="1">
        <v>-3283000</v>
      </c>
      <c r="D88" s="1">
        <v>-3653000</v>
      </c>
      <c r="E88" s="1">
        <v>-18812000</v>
      </c>
      <c r="L88" s="45" t="s">
        <v>127</v>
      </c>
      <c r="M88" s="46">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L89" s="43" t="s">
        <v>128</v>
      </c>
      <c r="M89" s="44">
        <f>E27</f>
        <v>-5613000</v>
      </c>
    </row>
    <row r="90" spans="1:13" ht="20" x14ac:dyDescent="0.25">
      <c r="A90" s="5" t="s">
        <v>75</v>
      </c>
      <c r="B90" s="1" t="s">
        <v>91</v>
      </c>
      <c r="C90" s="1" t="s">
        <v>91</v>
      </c>
      <c r="D90" s="1">
        <v>-3449000</v>
      </c>
      <c r="E90" s="1">
        <v>-281032000</v>
      </c>
      <c r="L90" s="43" t="s">
        <v>19</v>
      </c>
      <c r="M90" s="44">
        <f>E25</f>
        <v>-383998000</v>
      </c>
    </row>
    <row r="91" spans="1:13" ht="20" x14ac:dyDescent="0.25">
      <c r="A91" s="5" t="s">
        <v>76</v>
      </c>
      <c r="B91" s="1" t="s">
        <v>91</v>
      </c>
      <c r="C91" s="1" t="s">
        <v>91</v>
      </c>
      <c r="D91" s="1">
        <v>-6000000</v>
      </c>
      <c r="E91" s="1">
        <v>925185000</v>
      </c>
      <c r="L91" s="45" t="s">
        <v>129</v>
      </c>
      <c r="M91" s="46">
        <f>M89/M90</f>
        <v>1.4617263631581414E-2</v>
      </c>
    </row>
    <row r="92" spans="1:13" ht="20" x14ac:dyDescent="0.25">
      <c r="A92" s="5" t="s">
        <v>77</v>
      </c>
      <c r="B92" s="1" t="s">
        <v>91</v>
      </c>
      <c r="C92" s="1" t="s">
        <v>91</v>
      </c>
      <c r="D92" s="1" t="s">
        <v>91</v>
      </c>
      <c r="E92" s="1" t="s">
        <v>91</v>
      </c>
      <c r="L92" s="45" t="s">
        <v>130</v>
      </c>
      <c r="M92" s="46">
        <f>M88*(1-M91)</f>
        <v>0</v>
      </c>
    </row>
    <row r="93" spans="1:13" ht="19" x14ac:dyDescent="0.25">
      <c r="A93" s="5" t="s">
        <v>78</v>
      </c>
      <c r="B93" s="1" t="s">
        <v>91</v>
      </c>
      <c r="C93" s="1">
        <v>-2982000</v>
      </c>
      <c r="D93" s="1">
        <v>-6641000</v>
      </c>
      <c r="E93" s="1"/>
      <c r="L93" s="67" t="s">
        <v>131</v>
      </c>
      <c r="M93" s="67"/>
    </row>
    <row r="94" spans="1:13" ht="20" x14ac:dyDescent="0.25">
      <c r="A94" s="6" t="s">
        <v>79</v>
      </c>
      <c r="B94" s="10" t="s">
        <v>91</v>
      </c>
      <c r="C94" s="10">
        <v>-6265000</v>
      </c>
      <c r="D94" s="10">
        <v>-19743000</v>
      </c>
      <c r="E94" s="10">
        <v>-1312666000</v>
      </c>
      <c r="L94" s="43" t="s">
        <v>132</v>
      </c>
      <c r="M94" s="47">
        <f>[1]Treasuries!$C$8</f>
        <v>3.8539999999999998E-2</v>
      </c>
    </row>
    <row r="95" spans="1:13" ht="20" x14ac:dyDescent="0.25">
      <c r="A95" s="5" t="s">
        <v>80</v>
      </c>
      <c r="B95" s="1" t="s">
        <v>91</v>
      </c>
      <c r="C95" s="1">
        <v>-20000000</v>
      </c>
      <c r="D95" s="1">
        <v>-20000000</v>
      </c>
      <c r="E95" s="1">
        <v>0</v>
      </c>
      <c r="L95" s="43" t="s">
        <v>133</v>
      </c>
      <c r="M95" s="48" cm="1">
        <f t="array" ref="M95">_FV(A1,"Beta")</f>
        <v>1.8680000000000001</v>
      </c>
    </row>
    <row r="96" spans="1:13" ht="20" x14ac:dyDescent="0.25">
      <c r="A96" s="5" t="s">
        <v>81</v>
      </c>
      <c r="B96" s="1" t="s">
        <v>91</v>
      </c>
      <c r="C96" s="1" t="s">
        <v>91</v>
      </c>
      <c r="D96" s="1">
        <v>1388562000</v>
      </c>
      <c r="E96" s="1">
        <v>36494000</v>
      </c>
      <c r="L96" s="43" t="s">
        <v>134</v>
      </c>
      <c r="M96" s="47">
        <v>8.4000000000000005E-2</v>
      </c>
    </row>
    <row r="97" spans="1:13" ht="20" x14ac:dyDescent="0.25">
      <c r="A97" s="5" t="s">
        <v>82</v>
      </c>
      <c r="B97" s="1" t="s">
        <v>91</v>
      </c>
      <c r="C97" s="1" t="s">
        <v>91</v>
      </c>
      <c r="D97" s="1" t="s">
        <v>91</v>
      </c>
      <c r="E97" s="1" t="s">
        <v>91</v>
      </c>
      <c r="L97" s="45" t="s">
        <v>135</v>
      </c>
      <c r="M97" s="46">
        <f>(M94)+((M95)*(M96-M94))</f>
        <v>0.12345928</v>
      </c>
    </row>
    <row r="98" spans="1:13" ht="19" x14ac:dyDescent="0.25">
      <c r="A98" s="5" t="s">
        <v>83</v>
      </c>
      <c r="B98" s="1" t="s">
        <v>91</v>
      </c>
      <c r="C98" s="1" t="s">
        <v>91</v>
      </c>
      <c r="D98" s="1" t="s">
        <v>91</v>
      </c>
      <c r="E98" s="1">
        <v>0</v>
      </c>
      <c r="L98" s="67" t="s">
        <v>136</v>
      </c>
      <c r="M98" s="67"/>
    </row>
    <row r="99" spans="1:13" ht="20" x14ac:dyDescent="0.25">
      <c r="A99" s="5" t="s">
        <v>84</v>
      </c>
      <c r="B99" s="1" t="s">
        <v>91</v>
      </c>
      <c r="C99" s="1">
        <v>443978000</v>
      </c>
      <c r="D99" s="1">
        <v>18562000</v>
      </c>
      <c r="E99" s="1">
        <v>-186000</v>
      </c>
      <c r="L99" s="43" t="s">
        <v>137</v>
      </c>
      <c r="M99" s="44">
        <f>M86+M87</f>
        <v>0</v>
      </c>
    </row>
    <row r="100" spans="1:13" ht="20" x14ac:dyDescent="0.25">
      <c r="A100" s="6" t="s">
        <v>85</v>
      </c>
      <c r="B100" s="10" t="s">
        <v>91</v>
      </c>
      <c r="C100" s="10">
        <v>423978000</v>
      </c>
      <c r="D100" s="10">
        <v>1387124000</v>
      </c>
      <c r="E100" s="10">
        <v>36308000</v>
      </c>
      <c r="L100" s="45" t="s">
        <v>138</v>
      </c>
      <c r="M100" s="46">
        <f>M99/M103</f>
        <v>0</v>
      </c>
    </row>
    <row r="101" spans="1:13" ht="20" x14ac:dyDescent="0.25">
      <c r="A101" s="5" t="s">
        <v>86</v>
      </c>
      <c r="B101" s="1" t="s">
        <v>91</v>
      </c>
      <c r="C101" s="1">
        <v>289000</v>
      </c>
      <c r="D101" s="1">
        <v>1146000</v>
      </c>
      <c r="E101" s="1">
        <v>0</v>
      </c>
      <c r="L101" s="43" t="s">
        <v>139</v>
      </c>
      <c r="M101" s="49" cm="1">
        <f t="array" ref="M101">_FV(A1,"Market cap",TRUE)</f>
        <v>4409609210</v>
      </c>
    </row>
    <row r="102" spans="1:13" ht="20" x14ac:dyDescent="0.25">
      <c r="A102" s="6" t="s">
        <v>87</v>
      </c>
      <c r="B102" s="10" t="s">
        <v>91</v>
      </c>
      <c r="C102" s="10">
        <v>351432000</v>
      </c>
      <c r="D102" s="10">
        <v>1272939000</v>
      </c>
      <c r="E102" s="10">
        <v>1469645000</v>
      </c>
      <c r="L102" s="45" t="s">
        <v>140</v>
      </c>
      <c r="M102" s="46">
        <f>M101/M103</f>
        <v>1</v>
      </c>
    </row>
    <row r="103" spans="1:13" ht="20" x14ac:dyDescent="0.25">
      <c r="A103" s="5" t="s">
        <v>88</v>
      </c>
      <c r="B103" s="1" t="s">
        <v>91</v>
      </c>
      <c r="C103" s="1">
        <v>47680000</v>
      </c>
      <c r="D103" s="1">
        <v>399112000</v>
      </c>
      <c r="E103" s="1">
        <v>1672051</v>
      </c>
      <c r="L103" s="45" t="s">
        <v>141</v>
      </c>
      <c r="M103" s="50">
        <f>M99+M101</f>
        <v>4409609210</v>
      </c>
    </row>
    <row r="104" spans="1:13" ht="20" thickBot="1" x14ac:dyDescent="0.3">
      <c r="A104" s="7" t="s">
        <v>89</v>
      </c>
      <c r="B104" s="11" t="s">
        <v>91</v>
      </c>
      <c r="C104" s="11">
        <v>399112000</v>
      </c>
      <c r="D104" s="11">
        <v>1672051000</v>
      </c>
      <c r="E104" s="11">
        <v>202406000</v>
      </c>
      <c r="L104" s="67" t="s">
        <v>142</v>
      </c>
      <c r="M104" s="67"/>
    </row>
    <row r="105" spans="1:13" ht="21" thickTop="1" x14ac:dyDescent="0.25">
      <c r="A105" s="14" t="s">
        <v>158</v>
      </c>
      <c r="C105" s="1">
        <f t="shared" ref="C105:D105" si="13">(C22*(1-$M$91))+C77+C88+C81</f>
        <v>-96603428.322543338</v>
      </c>
      <c r="D105" s="1">
        <f t="shared" si="13"/>
        <v>-203430799.40520522</v>
      </c>
      <c r="E105" s="1">
        <f>(E22*(1-$M$91))+E77+E88+E81</f>
        <v>-385782440.4762525</v>
      </c>
      <c r="F105" s="28">
        <f>E105*(1+$M$106)</f>
        <v>-504312922.2387616</v>
      </c>
      <c r="G105" s="28">
        <f t="shared" ref="G105:J105" si="14">F105*(1+$M$106)</f>
        <v>-659261534.09943771</v>
      </c>
      <c r="H105" s="28">
        <f t="shared" si="14"/>
        <v>-861817635.79195988</v>
      </c>
      <c r="I105" s="28">
        <f t="shared" si="14"/>
        <v>-1126608483.8039646</v>
      </c>
      <c r="J105" s="28">
        <f t="shared" si="14"/>
        <v>-1472755514.7008622</v>
      </c>
      <c r="K105" s="29" t="s">
        <v>161</v>
      </c>
      <c r="L105" s="51" t="s">
        <v>143</v>
      </c>
      <c r="M105" s="52">
        <f>(M100*M92)+(M102*M97)</f>
        <v>0.12345928</v>
      </c>
    </row>
    <row r="106" spans="1:13" ht="19" x14ac:dyDescent="0.25">
      <c r="A106" s="14" t="s">
        <v>159</v>
      </c>
      <c r="B106" s="1"/>
      <c r="C106" s="15">
        <v>0</v>
      </c>
      <c r="D106" s="15">
        <f>(D107/C107)-1</f>
        <v>0.45372417107160024</v>
      </c>
      <c r="E106" s="15">
        <f>(E107/D107)-1</f>
        <v>0.96476266031997882</v>
      </c>
      <c r="F106" s="31">
        <v>-81510000</v>
      </c>
      <c r="G106" s="31">
        <v>44775000</v>
      </c>
      <c r="H106" s="31">
        <v>183200000</v>
      </c>
      <c r="I106" s="31">
        <v>238700000</v>
      </c>
      <c r="J106" s="31">
        <v>359500000</v>
      </c>
      <c r="K106" s="29" t="s">
        <v>162</v>
      </c>
      <c r="L106" s="53" t="s">
        <v>144</v>
      </c>
      <c r="M106" s="54">
        <f>(SUM(F4:J4)/5)</f>
        <v>0.30724695923480089</v>
      </c>
    </row>
    <row r="107" spans="1:13" ht="19" x14ac:dyDescent="0.25">
      <c r="A107" s="40" t="s">
        <v>160</v>
      </c>
      <c r="B107" s="1" t="s">
        <v>91</v>
      </c>
      <c r="C107" s="1">
        <v>-72835000</v>
      </c>
      <c r="D107" s="1">
        <v>-105882000</v>
      </c>
      <c r="E107" s="1">
        <v>-208033000</v>
      </c>
      <c r="F107" s="29"/>
      <c r="G107" s="29"/>
      <c r="H107" s="29"/>
      <c r="I107" s="29"/>
      <c r="J107" s="32">
        <f>J106*(1+M107)/(M108-M107)</f>
        <v>3742537016.317811</v>
      </c>
      <c r="K107" s="30" t="s">
        <v>145</v>
      </c>
      <c r="L107" s="55" t="s">
        <v>146</v>
      </c>
      <c r="M107" s="56">
        <v>2.5000000000000001E-2</v>
      </c>
    </row>
    <row r="108" spans="1:13" ht="19" x14ac:dyDescent="0.25">
      <c r="F108" s="32">
        <f t="shared" ref="F108:I108" si="15">F107+F106</f>
        <v>-81510000</v>
      </c>
      <c r="G108" s="32">
        <f t="shared" si="15"/>
        <v>44775000</v>
      </c>
      <c r="H108" s="32">
        <f t="shared" si="15"/>
        <v>183200000</v>
      </c>
      <c r="I108" s="32">
        <f t="shared" si="15"/>
        <v>238700000</v>
      </c>
      <c r="J108" s="32">
        <f>J107+J106</f>
        <v>4102037016.317811</v>
      </c>
      <c r="K108" s="30" t="s">
        <v>141</v>
      </c>
      <c r="L108" s="57" t="s">
        <v>147</v>
      </c>
      <c r="M108" s="54">
        <f>M105</f>
        <v>0.12345928</v>
      </c>
    </row>
    <row r="109" spans="1:13" ht="19" x14ac:dyDescent="0.25">
      <c r="F109" s="64" t="s">
        <v>148</v>
      </c>
      <c r="G109" s="64"/>
    </row>
    <row r="110" spans="1:13" ht="20" x14ac:dyDescent="0.25">
      <c r="F110" s="58" t="s">
        <v>149</v>
      </c>
      <c r="G110" s="49">
        <f>NPV(M108,F108,G108,H108,I108,J108)</f>
        <v>2533948805.1656733</v>
      </c>
    </row>
    <row r="111" spans="1:13" ht="20" x14ac:dyDescent="0.25">
      <c r="F111" s="58" t="s">
        <v>150</v>
      </c>
      <c r="G111" s="49">
        <f>E40</f>
        <v>623525000</v>
      </c>
    </row>
    <row r="112" spans="1:13" ht="20" x14ac:dyDescent="0.25">
      <c r="F112" s="58" t="s">
        <v>137</v>
      </c>
      <c r="G112" s="49">
        <f>M99</f>
        <v>0</v>
      </c>
    </row>
    <row r="113" spans="6:7" ht="20" x14ac:dyDescent="0.25">
      <c r="F113" s="58" t="s">
        <v>151</v>
      </c>
      <c r="G113" s="49">
        <f>G110+G111-G112</f>
        <v>3157473805.1656733</v>
      </c>
    </row>
    <row r="114" spans="6:7" ht="20" x14ac:dyDescent="0.25">
      <c r="F114" s="58" t="s">
        <v>163</v>
      </c>
      <c r="G114" s="58">
        <f>E34*(1+(5*0.05))</f>
        <v>347253576.25</v>
      </c>
    </row>
    <row r="115" spans="6:7" ht="20" x14ac:dyDescent="0.25">
      <c r="F115" s="59" t="s">
        <v>152</v>
      </c>
      <c r="G115" s="60">
        <f>G113/G114</f>
        <v>9.0927034913889475</v>
      </c>
    </row>
    <row r="116" spans="6:7" ht="20" x14ac:dyDescent="0.25">
      <c r="F116" s="58" t="s">
        <v>153</v>
      </c>
      <c r="G116" s="61" cm="1">
        <f t="array" ref="G116">_FV(A1,"Price")</f>
        <v>15.1</v>
      </c>
    </row>
    <row r="117" spans="6:7" ht="20" x14ac:dyDescent="0.25">
      <c r="F117" s="59" t="s">
        <v>154</v>
      </c>
      <c r="G117" s="62">
        <f>G115/G116-1</f>
        <v>-0.39783420586828155</v>
      </c>
    </row>
    <row r="118" spans="6:7" ht="20" x14ac:dyDescent="0.25">
      <c r="F118" s="59" t="s">
        <v>155</v>
      </c>
      <c r="G118" s="63"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6"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2023-07-01T07:53:56Z</dcterms:modified>
</cp:coreProperties>
</file>