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0491B97-8634-554C-B9DA-3AF36C0C644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0" i="1" l="1"/>
  <c r="T30" i="1"/>
  <c r="U30" i="1"/>
  <c r="V30" i="1"/>
  <c r="R30" i="1"/>
  <c r="R29" i="1"/>
  <c r="S29" i="1"/>
  <c r="T29" i="1"/>
  <c r="U29" i="1"/>
  <c r="V29" i="1"/>
  <c r="S21" i="1"/>
  <c r="T21" i="1"/>
  <c r="U21" i="1"/>
  <c r="V21" i="1"/>
  <c r="R21" i="1"/>
  <c r="R20" i="1"/>
  <c r="S20" i="1"/>
  <c r="T20" i="1"/>
  <c r="U20" i="1"/>
  <c r="V20" i="1"/>
  <c r="P13" i="1"/>
  <c r="Q13" i="1"/>
  <c r="S116" i="1" a="1"/>
  <c r="S116" i="1" s="1"/>
  <c r="Y101" i="1" a="1"/>
  <c r="Y101" i="1" s="1"/>
  <c r="Z19"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c r="R106" i="1" s="1"/>
  <c r="Y92" i="1"/>
  <c r="S112" i="1"/>
  <c r="X19" i="1" l="1"/>
  <c r="Y19" i="1"/>
  <c r="R108" i="1"/>
  <c r="S106" i="1"/>
  <c r="Y103" i="1"/>
  <c r="Y100" i="1" s="1"/>
  <c r="Y16" i="1"/>
  <c r="X16" i="1"/>
  <c r="Z16" i="1"/>
  <c r="S108" i="1" l="1"/>
  <c r="T106" i="1"/>
  <c r="Y102" i="1"/>
  <c r="Y105" i="1" s="1"/>
  <c r="Y108" i="1" s="1"/>
  <c r="V107" i="1" s="1"/>
  <c r="V108" i="1" s="1"/>
  <c r="T108" i="1" l="1"/>
  <c r="U106" i="1"/>
  <c r="U108" i="1" l="1"/>
  <c r="V106" i="1"/>
  <c r="S110" i="1" s="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<sst xmlns="http://schemas.openxmlformats.org/spreadsheetml/2006/main" count="608" uniqueCount="163">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</sst>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164" fontId="10" fillId="7" borderId="0" xfId="0" applyNumberFormat="1" applyFont="1" applyFill="1"/>
    <xf numFmtId="164" fontId="1" fillId="7" borderId="0" xfId="0" applyNumberFormat="1" applyFont="1" applyFill="1"/>
    <xf numFmtId="164" fontId="13" fillId="0" borderId="2" xfId="0" applyNumberFormat="1" applyFont="1" applyBorder="1"/>
    <xf numFmtId="165" fontId="10" fillId="0" borderId="0" xfId="0" applyNumberFormat="1" applyFont="1"/>
    <xf numFmtId="165" fontId="10" fillId="0" borderId="15" xfId="0" applyNumberFormat="1" applyFont="1" applyBorder="1"/>
    <xf numFmtId="164" fontId="13" fillId="0" borderId="3" xfId="0" applyNumberFormat="1" applyFont="1" applyBorder="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576.67999999999995</v>
    <v>337</v>
    <v>1.0199</v>
    <v>1.99</v>
    <v>3.699E-3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545.08000000000004</v>
    <v>Software &amp; IT Services</v>
    <v>Stock</v>
    <v>45104.995955346873</v>
    <v>0</v>
    <v>535.01</v>
    <v>109606100000</v>
    <v>SERVICENOW, INC.</v>
    <v>SERVICENOW, INC.</v>
    <v>541.14</v>
    <v>275.25389999999999</v>
    <v>537.97</v>
    <v>539.96</v>
    <v>203740100</v>
    <v>NOW</v>
    <v>SERVICENOW, INC. (XNYS:NOW)</v>
    <v>854083</v>
    <v>1553152</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O2" activePane="bottomRight" state="frozen"/>
      <selection pane="topRight"/>
      <selection pane="bottomLeft"/>
      <selection pane="bottomRight" activeCell="T10" sqref="T10"/>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8838000000</v>
      </c>
      <c r="S3" s="28">
        <v>10759000000</v>
      </c>
      <c r="T3" s="28">
        <v>13016000000</v>
      </c>
      <c r="U3" s="28">
        <v>15451000000</v>
      </c>
      <c r="V3" s="28">
        <v>18053000000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0.21987577639751543</v>
      </c>
      <c r="S4" s="16">
        <f t="shared" si="0"/>
        <v>0.21735686806969912</v>
      </c>
      <c r="T4" s="16">
        <f t="shared" si="0"/>
        <v>0.20977786039594748</v>
      </c>
      <c r="U4" s="16">
        <f t="shared" si="0"/>
        <v>0.18707744314689623</v>
      </c>
      <c r="V4" s="16">
        <f t="shared" si="0"/>
        <v>0.16840333958967046</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64">
        <f>Y101/Q3</f>
        <v>15.128516218081435</v>
      </c>
      <c r="Y16" s="64">
        <f>Y101/Q28</f>
        <v>337.24953846153846</v>
      </c>
      <c r="Z16" s="65">
        <f>Y101/Q106</f>
        <v>50.439990796134374</v>
      </c>
    </row>
    <row r="17" spans="1:26"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6"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c r="X18" s="19" t="s">
        <v>160</v>
      </c>
      <c r="Y18" s="19" t="s">
        <v>161</v>
      </c>
      <c r="Z18" s="19" t="s">
        <v>162</v>
      </c>
    </row>
    <row r="19" spans="1:26"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R19" s="59">
        <v>2853000000</v>
      </c>
      <c r="S19" s="59">
        <v>3531000000</v>
      </c>
      <c r="T19" s="59">
        <v>4567000000</v>
      </c>
      <c r="U19" s="59">
        <v>5808000000</v>
      </c>
      <c r="V19" s="59">
        <v>7237000000</v>
      </c>
      <c r="W19" s="52">
        <f>Q40-Q56-Q61</f>
        <v>2048000000</v>
      </c>
      <c r="X19" s="64">
        <f>Y101/R3</f>
        <v>12.401685901787735</v>
      </c>
      <c r="Y19" s="64">
        <f>Y101/R28</f>
        <v>55.807586558044804</v>
      </c>
      <c r="Z19" s="65">
        <f>Y101/R105</f>
        <v>43.720023932987637</v>
      </c>
    </row>
    <row r="20" spans="1:26"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c r="R20" s="16">
        <f t="shared" ref="R20" si="6">(R19/Q19)-1</f>
        <v>2.3213038416763681</v>
      </c>
      <c r="S20" s="16">
        <f t="shared" ref="S20" si="7">(S19/R19)-1</f>
        <v>0.2376445846477393</v>
      </c>
      <c r="T20" s="16">
        <f t="shared" ref="T20" si="8">(T19/S19)-1</f>
        <v>0.29340130274709719</v>
      </c>
      <c r="U20" s="16">
        <f t="shared" ref="U20" si="9">(U19/T19)-1</f>
        <v>0.27173199036566675</v>
      </c>
      <c r="V20" s="16">
        <f t="shared" ref="V20" si="10">(V19/U19)-1</f>
        <v>0.24603994490358128</v>
      </c>
    </row>
    <row r="21" spans="1:26"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c r="R21" s="61">
        <f>R19/R3</f>
        <v>0.32281059063136458</v>
      </c>
      <c r="S21" s="61">
        <f t="shared" ref="S21:V21" si="11">S19/S3</f>
        <v>0.32819035226322146</v>
      </c>
      <c r="T21" s="61">
        <f t="shared" si="11"/>
        <v>0.35087584511370623</v>
      </c>
      <c r="U21" s="61">
        <f t="shared" si="11"/>
        <v>0.37589800012944147</v>
      </c>
      <c r="V21" s="61">
        <f t="shared" si="11"/>
        <v>0.40087520079765138</v>
      </c>
    </row>
    <row r="22" spans="1:26"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6"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6"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6"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6"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6"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6" ht="20" thickBot="1" x14ac:dyDescent="0.3">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c r="R28" s="62">
        <v>1964000000</v>
      </c>
      <c r="S28" s="62">
        <v>2457000000</v>
      </c>
      <c r="T28" s="62">
        <v>3055000000</v>
      </c>
      <c r="U28" s="62">
        <v>3828000000</v>
      </c>
      <c r="V28" s="62">
        <v>4388000000</v>
      </c>
    </row>
    <row r="29" spans="1:26" ht="20" customHeight="1" thickTop="1" x14ac:dyDescent="0.25">
      <c r="A29" s="14" t="s">
        <v>102</v>
      </c>
      <c r="B29" s="1"/>
      <c r="C29" s="15">
        <f>(C28/B28)-1</f>
        <v>0.47500000000000009</v>
      </c>
      <c r="D29" s="15">
        <f>(D28/C28)-1</f>
        <v>0</v>
      </c>
      <c r="E29" s="15">
        <f>(E28/D28)-1</f>
        <v>4.0347457627118644</v>
      </c>
      <c r="F29" s="15">
        <f t="shared" ref="F29:O29" si="12">(F28/E28)-1</f>
        <v>-1.330920720417438</v>
      </c>
      <c r="G29" s="15">
        <f t="shared" si="12"/>
        <v>-4.7993896236012201</v>
      </c>
      <c r="H29" s="15">
        <f t="shared" si="12"/>
        <v>0.97354610688658028</v>
      </c>
      <c r="I29" s="15">
        <f t="shared" si="12"/>
        <v>1.4337521028924947</v>
      </c>
      <c r="J29" s="15">
        <f t="shared" si="12"/>
        <v>0.10613366631918697</v>
      </c>
      <c r="K29" s="15">
        <f t="shared" si="12"/>
        <v>1.2769395139749831</v>
      </c>
      <c r="L29" s="15">
        <f t="shared" si="12"/>
        <v>-0.66992324105142931</v>
      </c>
      <c r="M29" s="15">
        <f t="shared" si="12"/>
        <v>-0.82093475491182188</v>
      </c>
      <c r="N29" s="15">
        <f t="shared" si="12"/>
        <v>-24.468319352905933</v>
      </c>
      <c r="O29" s="15">
        <f t="shared" si="12"/>
        <v>-0.81090892263897441</v>
      </c>
      <c r="P29" s="15">
        <f t="shared" ref="P29" si="13">(P28/O28)-1</f>
        <v>0.94087913386159006</v>
      </c>
      <c r="Q29" s="15">
        <f t="shared" ref="Q29" si="14">(Q28/P28)-1</f>
        <v>0.41304347826086962</v>
      </c>
      <c r="R29" s="16">
        <f t="shared" ref="R29" si="15">(R28/Q28)-1</f>
        <v>5.0430769230769235</v>
      </c>
      <c r="S29" s="16">
        <f t="shared" ref="S29" si="16">(S28/R28)-1</f>
        <v>0.25101832993890016</v>
      </c>
      <c r="T29" s="16">
        <f t="shared" ref="T29" si="17">(T28/S28)-1</f>
        <v>0.24338624338624348</v>
      </c>
      <c r="U29" s="16">
        <f t="shared" ref="U29" si="18">(U28/T28)-1</f>
        <v>0.25302782324058914</v>
      </c>
      <c r="V29" s="16">
        <f t="shared" ref="V29" si="19">(V28/U28)-1</f>
        <v>0.14629049111807735</v>
      </c>
    </row>
    <row r="30" spans="1:26"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c r="R30" s="60">
        <f>R28/R3</f>
        <v>0.22222222222222221</v>
      </c>
      <c r="S30" s="60">
        <f t="shared" ref="S30:V30" si="20">S28/S3</f>
        <v>0.2283669486011711</v>
      </c>
      <c r="T30" s="60">
        <f t="shared" si="20"/>
        <v>0.23471112476951445</v>
      </c>
      <c r="U30" s="60">
        <f t="shared" si="20"/>
        <v>0.24775095463076824</v>
      </c>
      <c r="V30" s="60">
        <f t="shared" si="20"/>
        <v>0.24306209494266881</v>
      </c>
    </row>
    <row r="31" spans="1:26"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c r="R31" s="63">
        <v>9.64</v>
      </c>
      <c r="S31" s="63">
        <v>12.06</v>
      </c>
      <c r="T31" s="63">
        <v>15</v>
      </c>
      <c r="U31" s="63">
        <v>18.79</v>
      </c>
      <c r="V31" s="63">
        <v>21.54</v>
      </c>
    </row>
    <row r="32" spans="1:26"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21">(D34-C34)/C34</f>
        <v>0</v>
      </c>
      <c r="E35" s="22">
        <f t="shared" si="21"/>
        <v>-0.79115891936824601</v>
      </c>
      <c r="F35" s="22">
        <f t="shared" si="21"/>
        <v>0</v>
      </c>
      <c r="G35" s="22">
        <f t="shared" si="21"/>
        <v>1.9418030836526416</v>
      </c>
      <c r="H35" s="22">
        <f t="shared" si="21"/>
        <v>0.8322056188539062</v>
      </c>
      <c r="I35" s="22">
        <f t="shared" si="21"/>
        <v>7.34015775070989E-2</v>
      </c>
      <c r="J35" s="22">
        <f t="shared" si="21"/>
        <v>7.1212282561525703E-2</v>
      </c>
      <c r="K35" s="22">
        <f t="shared" si="21"/>
        <v>5.6691094419137916E-2</v>
      </c>
      <c r="L35" s="22">
        <f t="shared" si="21"/>
        <v>4.0367104336960551E-2</v>
      </c>
      <c r="M35" s="22">
        <f t="shared" si="21"/>
        <v>3.8968444663107518E-2</v>
      </c>
      <c r="N35" s="22">
        <f t="shared" si="21"/>
        <v>0.10895367055804223</v>
      </c>
      <c r="O35" s="22">
        <f t="shared" si="21"/>
        <v>2.6644965343798645E-2</v>
      </c>
      <c r="P35" s="22">
        <f t="shared" ref="P35" si="22">(P34-O34)/O34</f>
        <v>2.5780578630764826E-3</v>
      </c>
      <c r="Q35" s="22">
        <f t="shared" ref="Q35" si="23">(Q34-P34)/P34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24">B79/B3</f>
        <v>#VALUE!</v>
      </c>
      <c r="C80" s="15" t="e">
        <f t="shared" si="24"/>
        <v>#VALUE!</v>
      </c>
      <c r="D80" s="15" t="e">
        <f t="shared" si="24"/>
        <v>#VALUE!</v>
      </c>
      <c r="E80" s="15">
        <f t="shared" si="24"/>
        <v>1.2578180895012578E-2</v>
      </c>
      <c r="F80" s="15">
        <f t="shared" si="24"/>
        <v>3.1886529722261199E-2</v>
      </c>
      <c r="G80" s="15">
        <f t="shared" si="24"/>
        <v>0.11463120404411764</v>
      </c>
      <c r="H80" s="15">
        <f t="shared" si="24"/>
        <v>0.15443541740256683</v>
      </c>
      <c r="I80" s="15">
        <f t="shared" si="24"/>
        <v>0.22608755528793678</v>
      </c>
      <c r="J80" s="15">
        <f t="shared" si="24"/>
        <v>0.25630842980467039</v>
      </c>
      <c r="K80" s="15">
        <f t="shared" si="24"/>
        <v>0.22839052925071537</v>
      </c>
      <c r="L80" s="15">
        <f t="shared" si="24"/>
        <v>0.20386585591709577</v>
      </c>
      <c r="M80" s="15">
        <f t="shared" si="24"/>
        <v>0.20850569760381721</v>
      </c>
      <c r="N80" s="15">
        <f t="shared" si="24"/>
        <v>0.19136166906087296</v>
      </c>
      <c r="O80" s="15">
        <f t="shared" si="24"/>
        <v>0.19260008443441773</v>
      </c>
      <c r="P80" s="15">
        <f t="shared" si="24"/>
        <v>0.19182496607869742</v>
      </c>
      <c r="Q80" s="15">
        <f t="shared" si="24"/>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8" t="s">
        <v>125</v>
      </c>
      <c r="Y83" s="69"/>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70" t="s">
        <v>126</v>
      </c>
      <c r="Y84" s="71"/>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0" t="s">
        <v>130</v>
      </c>
      <c r="Y88" s="31">
        <f>Y85/(Y86+Y87)</f>
        <v>1.2096774193548387E-2</v>
      </c>
    </row>
    <row r="89" spans="1:25" ht="20" customHeight="1" x14ac:dyDescent="0.25">
      <c r="A89" s="14" t="s">
        <v>105</v>
      </c>
      <c r="B89" s="15" t="e">
        <f t="shared" ref="B89:Q89" si="25">(-1*B88)/B3</f>
        <v>#VALUE!</v>
      </c>
      <c r="C89" s="15" t="e">
        <f t="shared" si="25"/>
        <v>#VALUE!</v>
      </c>
      <c r="D89" s="15">
        <f t="shared" si="25"/>
        <v>1.5544041450777202E-2</v>
      </c>
      <c r="E89" s="15">
        <f t="shared" si="25"/>
        <v>3.655750190403656E-2</v>
      </c>
      <c r="F89" s="15">
        <f t="shared" si="25"/>
        <v>9.4267117151153379E-2</v>
      </c>
      <c r="G89" s="15">
        <f t="shared" si="25"/>
        <v>0.17260537027310924</v>
      </c>
      <c r="H89" s="15">
        <f t="shared" si="25"/>
        <v>0.13027434357706347</v>
      </c>
      <c r="I89" s="15">
        <f t="shared" si="25"/>
        <v>7.9668836429750811E-2</v>
      </c>
      <c r="J89" s="15">
        <f t="shared" si="25"/>
        <v>8.7004216891434935E-2</v>
      </c>
      <c r="K89" s="15">
        <f t="shared" si="25"/>
        <v>7.5915867021739455E-2</v>
      </c>
      <c r="L89" s="15">
        <f t="shared" si="25"/>
        <v>7.7862377433102301E-2</v>
      </c>
      <c r="M89" s="15">
        <f t="shared" si="25"/>
        <v>8.6039797364014944E-2</v>
      </c>
      <c r="N89" s="15">
        <f t="shared" si="25"/>
        <v>7.6548713356145479E-2</v>
      </c>
      <c r="O89" s="15">
        <f t="shared" si="25"/>
        <v>9.2782052110373658E-2</v>
      </c>
      <c r="P89" s="15">
        <f t="shared" si="25"/>
        <v>6.6485753052917235E-2</v>
      </c>
      <c r="Q89" s="15">
        <f t="shared" si="25"/>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0" t="s">
        <v>131</v>
      </c>
      <c r="Y91" s="31">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2" t="s">
        <v>132</v>
      </c>
      <c r="Y92" s="33">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72" t="s">
        <v>133</v>
      </c>
      <c r="Y93" s="73"/>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4">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3" cm="1">
        <f t="array" ref="Y95">_FV(A1,"Beta")</f>
        <v>1.0199</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4">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2" t="s">
        <v>137</v>
      </c>
      <c r="Y97" s="33">
        <f>(Y94)+((Y95)*(Y96-Y94))</f>
        <v>8.485669500000001E-2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72" t="s">
        <v>138</v>
      </c>
      <c r="Y98" s="73"/>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0" t="s">
        <v>140</v>
      </c>
      <c r="Y100" s="31">
        <f>Y99/Y103</f>
        <v>1.9957420592803348E-2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6" cm="1">
        <f t="array" ref="Y101">_FV(A1,"Market cap",TRUE)</f>
        <v>109606100000</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0" t="s">
        <v>142</v>
      </c>
      <c r="Y102" s="31">
        <f>Y101/Y103</f>
        <v>0.98004257940719663</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2" t="s">
        <v>143</v>
      </c>
      <c r="Y103" s="35">
        <f>Y99+Y101</f>
        <v>111838100000</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72" t="s">
        <v>144</v>
      </c>
      <c r="Y104" s="73"/>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26">(H106/G106)-1</f>
        <v>2.9440298507462686</v>
      </c>
      <c r="I105" s="15">
        <f t="shared" si="26"/>
        <v>2.1985241248817409</v>
      </c>
      <c r="J105" s="15">
        <f t="shared" si="26"/>
        <v>1.6722353024692089</v>
      </c>
      <c r="K105" s="15">
        <f t="shared" si="26"/>
        <v>-0.84234038785088106</v>
      </c>
      <c r="L105" s="15">
        <f t="shared" si="26"/>
        <v>12.638265607009464</v>
      </c>
      <c r="M105" s="15">
        <f t="shared" si="26"/>
        <v>0.15769131773208822</v>
      </c>
      <c r="N105" s="15">
        <f t="shared" si="26"/>
        <v>0.59791507700626267</v>
      </c>
      <c r="O105" s="15">
        <f t="shared" si="26"/>
        <v>0.50723014812036182</v>
      </c>
      <c r="P105" s="15">
        <f t="shared" ref="P105" si="27">(P106/O106)-1</f>
        <v>0.32340582032698162</v>
      </c>
      <c r="Q105" s="15">
        <f t="shared" ref="Q105" si="28">(Q106/P106)-1</f>
        <v>0.21261160714285721</v>
      </c>
      <c r="R105" s="57">
        <v>2507000000</v>
      </c>
      <c r="S105" s="57">
        <v>3126000000</v>
      </c>
      <c r="T105" s="57">
        <v>4064000000</v>
      </c>
      <c r="U105" s="57">
        <v>5090000000</v>
      </c>
      <c r="V105" s="57">
        <v>6521000000</v>
      </c>
      <c r="W105" s="15"/>
      <c r="X105" s="25" t="s">
        <v>108</v>
      </c>
      <c r="Y105" s="26">
        <f>(Y100*Y92)+(Y102*Y97)</f>
        <v>8.3359819945461405E-2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4">
        <f>Q106*(1+$Y$106)</f>
        <v>2608682713.5908418</v>
      </c>
      <c r="S106" s="54">
        <f t="shared" ref="S106:V106" si="29">R106*(1+$Y$106)</f>
        <v>3131719052.0882092</v>
      </c>
      <c r="T106" s="54">
        <f t="shared" si="29"/>
        <v>3759623265.0739112</v>
      </c>
      <c r="U106" s="54">
        <f t="shared" si="29"/>
        <v>4513421178.6526794</v>
      </c>
      <c r="V106" s="54">
        <f t="shared" si="29"/>
        <v>5418354260.4261608</v>
      </c>
      <c r="W106" s="36" t="s">
        <v>145</v>
      </c>
      <c r="X106" s="37" t="s">
        <v>146</v>
      </c>
      <c r="Y106" s="38">
        <f>(SUM(R4:V4)/5)</f>
        <v>0.20049825751994574</v>
      </c>
    </row>
    <row r="107" spans="1:25" ht="19" x14ac:dyDescent="0.25">
      <c r="A107" s="5"/>
      <c r="B107" s="13"/>
      <c r="C107" s="13"/>
      <c r="D107" s="13"/>
      <c r="E107" s="13"/>
      <c r="F107" s="13"/>
      <c r="G107" s="13"/>
      <c r="H107" s="13"/>
      <c r="I107" s="13"/>
      <c r="J107" s="13"/>
      <c r="K107" s="13"/>
      <c r="L107" s="13"/>
      <c r="M107" s="13"/>
      <c r="N107" s="13"/>
      <c r="O107" s="13"/>
      <c r="P107" s="13"/>
      <c r="Q107" s="13"/>
      <c r="R107" s="36"/>
      <c r="S107" s="36"/>
      <c r="T107" s="36"/>
      <c r="U107" s="36"/>
      <c r="V107" s="58">
        <f>V105*(1+Y107)/(Y108-Y107)</f>
        <v>125874300304.33025</v>
      </c>
      <c r="W107" s="40" t="s">
        <v>147</v>
      </c>
      <c r="X107" s="41" t="s">
        <v>148</v>
      </c>
      <c r="Y107" s="42">
        <v>0.03</v>
      </c>
    </row>
    <row r="108" spans="1:25" ht="19" x14ac:dyDescent="0.25">
      <c r="R108" s="39">
        <f t="shared" ref="R108:T108" si="30">R107+R106</f>
        <v>2608682713.5908418</v>
      </c>
      <c r="S108" s="39">
        <f t="shared" si="30"/>
        <v>3131719052.0882092</v>
      </c>
      <c r="T108" s="39">
        <f t="shared" si="30"/>
        <v>3759623265.0739112</v>
      </c>
      <c r="U108" s="39">
        <f>U107+U106</f>
        <v>4513421178.6526794</v>
      </c>
      <c r="V108" s="58">
        <f>V107+V105</f>
        <v>132395300304.33025</v>
      </c>
      <c r="W108" s="40" t="s">
        <v>143</v>
      </c>
      <c r="X108" s="43" t="s">
        <v>149</v>
      </c>
      <c r="Y108" s="44">
        <f>Y105</f>
        <v>8.3359819945461405E-2</v>
      </c>
    </row>
    <row r="109" spans="1:25" ht="19" x14ac:dyDescent="0.25">
      <c r="R109" s="66" t="s">
        <v>150</v>
      </c>
      <c r="S109" s="67"/>
    </row>
    <row r="110" spans="1:25" ht="20" x14ac:dyDescent="0.25">
      <c r="R110" s="45" t="s">
        <v>151</v>
      </c>
      <c r="S110" s="46">
        <f>NPV(Y108,R108,S108,T108,U108,V108)</f>
        <v>100027066270.57739</v>
      </c>
    </row>
    <row r="111" spans="1:25" ht="20" x14ac:dyDescent="0.25">
      <c r="R111" s="45" t="s">
        <v>152</v>
      </c>
      <c r="S111" s="46">
        <f>Q40</f>
        <v>4280000000</v>
      </c>
    </row>
    <row r="112" spans="1:25" ht="20" x14ac:dyDescent="0.25">
      <c r="R112" s="45" t="s">
        <v>139</v>
      </c>
      <c r="S112" s="46">
        <f>Y99</f>
        <v>2232000000</v>
      </c>
    </row>
    <row r="113" spans="18:19" ht="20" x14ac:dyDescent="0.25">
      <c r="R113" s="45" t="s">
        <v>153</v>
      </c>
      <c r="S113" s="46">
        <f>S110+S111-S112</f>
        <v>102075066270.57739</v>
      </c>
    </row>
    <row r="114" spans="18:19" ht="20" x14ac:dyDescent="0.25">
      <c r="R114" s="45" t="s">
        <v>154</v>
      </c>
      <c r="S114" s="47">
        <f>Q34*(1+(5*W16))</f>
        <v>240126645.72531751</v>
      </c>
    </row>
    <row r="115" spans="18:19" ht="20" x14ac:dyDescent="0.25">
      <c r="R115" s="48" t="s">
        <v>155</v>
      </c>
      <c r="S115" s="56">
        <f>S113/S114</f>
        <v>425.08846097547104</v>
      </c>
    </row>
    <row r="116" spans="18:19" ht="20" x14ac:dyDescent="0.25">
      <c r="R116" s="45" t="s">
        <v>156</v>
      </c>
      <c r="S116" s="55" cm="1">
        <f t="array" ref="S116">_FV(A1,"Price")</f>
        <v>539.96</v>
      </c>
    </row>
    <row r="117" spans="18:19" ht="20" x14ac:dyDescent="0.25">
      <c r="R117" s="49" t="s">
        <v>157</v>
      </c>
      <c r="S117" s="50">
        <f>S115/S116-1</f>
        <v>-0.21274083084770912</v>
      </c>
    </row>
    <row r="118" spans="18:19" ht="20" x14ac:dyDescent="0.25">
      <c r="R118" s="49" t="s">
        <v>158</v>
      </c>
      <c r="S118" s="51"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2023-06-28T08:14:02Z</dcterms:modified>
</cp:coreProperties>
</file>