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BC6553E4-7B62-EC47-8777-D6C207684265}" xr6:coauthVersionLast="47" xr6:coauthVersionMax="47" xr10:uidLastSave="{00000000-0000-0000-0000-000000000000}"/>
  <bookViews>
    <workbookView xWindow="40960" yWindow="554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 i="1" l="1"/>
  <c r="R3" i="1"/>
  <c r="Q3" i="1"/>
  <c r="O3" i="1"/>
  <c r="N3" i="1"/>
  <c r="M3" i="1"/>
  <c r="L3" i="1"/>
  <c r="K3" i="1"/>
  <c r="J3" i="1"/>
  <c r="I3" i="1"/>
  <c r="H3" i="1"/>
  <c r="G3" i="1"/>
  <c r="F3" i="1"/>
  <c r="E3" i="1"/>
  <c r="D3" i="1"/>
  <c r="C3" i="1"/>
  <c r="K4" i="2" a="1"/>
  <c r="K4" i="2" s="1"/>
  <c r="O10" i="2"/>
  <c r="O9" i="2"/>
  <c r="O7" i="2"/>
  <c r="G7" i="2"/>
  <c r="E7" i="2"/>
  <c r="O6" i="2"/>
  <c r="G6" i="2"/>
  <c r="E6" i="2"/>
  <c r="O5" i="2"/>
  <c r="G5" i="2"/>
  <c r="C5" i="2"/>
  <c r="C4" i="2"/>
  <c r="A4" i="2"/>
  <c r="C3" i="2"/>
  <c r="O20" i="2" a="1"/>
  <c r="O20" i="2" s="1"/>
  <c r="A20" i="2" a="1"/>
  <c r="A20" i="2" s="1"/>
  <c r="C19" i="2" a="1"/>
  <c r="C19" i="2" s="1"/>
  <c r="A19" i="2" a="1"/>
  <c r="A19" i="2" s="1"/>
  <c r="O15" i="2" a="1"/>
  <c r="O15" i="2" s="1"/>
  <c r="J15" i="2"/>
  <c r="I15" i="2"/>
  <c r="H15" i="2"/>
  <c r="G15" i="2"/>
  <c r="F15" i="2"/>
  <c r="E15" i="2"/>
  <c r="D15" i="2"/>
  <c r="C15" i="2"/>
  <c r="E5" i="2" s="1"/>
  <c r="J13" i="2"/>
  <c r="I13" i="2"/>
  <c r="H13" i="2"/>
  <c r="G13" i="2"/>
  <c r="F13" i="2"/>
  <c r="E13" i="2"/>
  <c r="D13" i="2"/>
  <c r="C13" i="2"/>
  <c r="E4" i="2" s="1"/>
  <c r="J11" i="2"/>
  <c r="I11" i="2"/>
  <c r="H11" i="2"/>
  <c r="G11" i="2"/>
  <c r="F11" i="2"/>
  <c r="E11" i="2"/>
  <c r="D11" i="2"/>
  <c r="E3" i="2" s="1"/>
  <c r="C11" i="2"/>
  <c r="O11" i="2"/>
  <c r="K5" i="2" a="1"/>
  <c r="K5" i="2" s="1"/>
  <c r="A5" i="2" a="1"/>
  <c r="A5" i="2" s="1"/>
  <c r="A3" i="2" a="1"/>
  <c r="A3" i="2" s="1"/>
  <c r="C7" i="2" s="1"/>
  <c r="S190" i="1"/>
  <c r="R190" i="1"/>
  <c r="Q190" i="1"/>
  <c r="P190" i="1"/>
  <c r="O190" i="1"/>
  <c r="C6" i="2" s="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G3" i="2" s="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O8" i="2" l="1"/>
  <c r="O12" i="2" s="1"/>
  <c r="K3" i="2"/>
  <c r="K15" i="2"/>
  <c r="K13" i="2"/>
  <c r="K11" i="2"/>
  <c r="O19" i="2"/>
  <c r="O21" i="2" s="1"/>
  <c r="O22" i="2" s="1"/>
  <c r="G4" i="2"/>
  <c r="A6" i="2"/>
  <c r="A7" i="2"/>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<sst xmlns="http://schemas.openxmlformats.org/spreadsheetml/2006/main" count="1524" uniqueCount="252">
  <si>
    <t>2010 Y</t>
  </si>
  <si>
    <t>2011 Y</t>
  </si>
  <si>
    <t>2012 Y</t>
  </si>
  <si>
    <t>2013 Y</t>
  </si>
  <si>
    <t>2014 Y</t>
  </si>
  <si>
    <t>2015 Y</t>
  </si>
  <si>
    <t>2016 Y</t>
  </si>
  <si>
    <t>2017 Y</t>
  </si>
  <si>
    <t>2018 Y</t>
  </si>
  <si>
    <t>2019 Y</t>
  </si>
  <si>
    <t>2020 Y</t>
  </si>
  <si>
    <t>2021 Y</t>
  </si>
  <si>
    <t>2022 Y</t>
  </si>
  <si>
    <t>TTM</t>
  </si>
  <si>
    <t>2022 Q2</t>
  </si>
  <si>
    <t>2022 Q3</t>
  </si>
  <si>
    <t>2022 Q4</t>
  </si>
  <si>
    <t>2012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</si>
  <si>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</si>
  <si>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</si>
  <si>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</si>
  <si>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</si>
  <si>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</si>
  <si>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</si>
  <si>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</si>
  <si>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</si>
  <si>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</si>
  <si>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</si>
  <si>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</si>
  <si>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</si>
  <si>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</si>
  <si>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</si>
  <si>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</si>
  <si>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</si>
  <si>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</si>
  <si>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</si>
  <si>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</si>
  <si>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</si>
  <si>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</si>
  <si>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</si>
  <si>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</si>
  <si>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</si>
  <si>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</si>
  <si>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</si>
  <si>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</si>
  <si>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</si>
  <si>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</si>
  <si>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</si>
  <si>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</si>
  <si>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</si>
  <si>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</si>
  <si>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</si>
  <si>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</si>
  <si>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</si>
  <si>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</si>
  <si>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</si>
  <si>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</si>
  <si>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</si>
  <si>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</si>
  <si>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</si>
  <si>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</si>
  <si>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</si>
  <si>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</si>
  <si>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</si>
  <si>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</si>
  <si>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</si>
  <si>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</si>
  <si>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</si>
  <si>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</si>
  <si>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</si>
  <si>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</si>
  <si>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</si>
  <si>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</si>
  <si>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</si>
  <si>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</si>
  <si>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</si>
  <si>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</si>
  <si>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</si>
  <si>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</si>
  <si>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</si>
  <si>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</si>
  <si>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</si>
  <si>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</si>
  <si>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</si>
  <si>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</si>
  <si>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</si>
  <si>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</si>
  <si>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</si>
  <si>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</si>
  <si>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</si>
  <si>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</si>
  <si>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</si>
  <si>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</si>
  <si>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</si>
  <si>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</si>
  <si>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</si>
  <si>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</si>
  <si>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</si>
  <si>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</si>
  <si>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</si>
  <si>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</si>
  <si>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</si>
  <si>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</si>
  <si>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</si>
  <si>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</si>
  <si>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</si>
  <si>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</si>
  <si>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</si>
  <si>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</si>
  <si>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</si>
  <si>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</si>
  <si>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</si>
  <si>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</si>
  <si>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</si>
  <si>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</si>
  <si>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</si>
  <si>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</si>
  <si>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</si>
  <si>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</si>
  <si>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</si>
  <si>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</si>
  <si>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</si>
  <si>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</si>
  <si>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</si>
  <si>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</si>
  <si>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</si>
  <si>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</si>
  <si>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</si>
  <si>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</si>
  <si>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</si>
  <si>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</si>
  <si>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</si>
  <si>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</si>
  <si>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</si>
  <si>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</si>
  <si>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</si>
  <si>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</si>
  <si>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</si>
  <si>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</si>
  <si>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</si>
  <si>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</si>
  <si>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</si>
  <si>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</si>
  <si>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</si>
  <si>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</si>
  <si>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</si>
  <si>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</si>
  <si>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</si>
  <si>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</si>
  <si>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</si>
  <si>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</si>
  <si>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</si>
  <si>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</si>
  <si>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</si>
  <si>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</si>
  <si>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</si>
  <si>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</si>
  <si>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</si>
  <si>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</si>
  <si>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</si>
  <si>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</si>
  <si>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</si>
  <si>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</si>
  <si>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</si>
  <si>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</si>
  <si>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</si>
  <si>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</si>
  <si>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</si>
  <si>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</si>
  <si>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</si>
  <si>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</si>
  <si>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</si>
  <si>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</si>
  <si>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</si>
  <si>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</si>
  <si>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</si>
  <si>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</si>
  <si>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</si>
  <si>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</si>
  <si>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</si>
  <si>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</si>
  <si>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</si>
  <si>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</si>
  <si>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</si>
  <si>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</si>
  <si>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</si>
  <si>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</si>
  <si>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</si>
  <si>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</si>
  <si>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</si>
  <si>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</si>
  <si>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</si>
  <si>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</si>
  <si>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</si>
  <si>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</si>
  <si>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2023 Q1</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</si>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</sst>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7">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1" fillId="12" borderId="0" xfId="0" applyFont="1" applyFill="1"/>
    <xf numFmtId="164" fontId="4" fillId="9" borderId="0" xfId="0" applyNumberFormat="1" applyFont="1" applyFill="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0" fontId="4" fillId="9" borderId="6"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3" fillId="11" borderId="6" xfId="0" applyFont="1" applyFill="1" applyBorder="1" applyAlignment="1">
      <alignment horizontal="left" vertical="center" wrapText="1"/>
    </xf>
    <xf numFmtId="164" fontId="14"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0" xfId="0" applyNumberFormat="1" applyFont="1" applyFill="1" applyBorder="1" applyAlignment="1">
      <alignment horizontal="right" vertical="center" indent="1"/>
    </xf>
    <xf numFmtId="9" fontId="15" fillId="10" borderId="9" xfId="1" applyFont="1" applyFill="1" applyBorder="1" applyAlignment="1">
      <alignment horizontal="left" vertical="center" indent="1"/>
    </xf>
    <xf numFmtId="0" fontId="13" fillId="11" borderId="10" xfId="0" applyFont="1" applyFill="1" applyBorder="1" applyAlignment="1">
      <alignment horizontal="left" vertical="center" wrapText="1"/>
    </xf>
    <xf numFmtId="164" fontId="14"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6"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5"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7" fillId="11" borderId="10" xfId="0" applyFont="1" applyFill="1" applyBorder="1" applyAlignment="1">
      <alignment horizontal="left" vertical="center" wrapText="1"/>
    </xf>
    <xf numFmtId="10" fontId="18" fillId="11" borderId="9" xfId="0" applyNumberFormat="1" applyFont="1" applyFill="1" applyBorder="1" applyAlignment="1">
      <alignment vertical="center"/>
    </xf>
    <xf numFmtId="0" fontId="3" fillId="9" borderId="0" xfId="0" applyFont="1" applyFill="1" applyAlignment="1">
      <alignment horizontal="right" vertical="center"/>
    </xf>
    <xf numFmtId="0" fontId="19"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0" xfId="0" applyFont="1" applyFill="1" applyAlignment="1">
      <alignment horizontal="right" vertical="center"/>
    </xf>
    <xf numFmtId="0" fontId="1" fillId="12" borderId="0" xfId="0" applyFont="1" applyFill="1" applyAlignment="1">
      <alignment vertical="center"/>
    </xf>
    <xf numFmtId="9" fontId="19"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4" fillId="11" borderId="9" xfId="0" applyNumberFormat="1" applyFont="1" applyFill="1" applyBorder="1" applyAlignment="1">
      <alignment vertical="center"/>
    </xf>
    <xf numFmtId="0" fontId="13" fillId="11" borderId="11" xfId="0" applyFont="1" applyFill="1" applyBorder="1" applyAlignment="1">
      <alignment horizontal="left" vertical="center" wrapText="1"/>
    </xf>
    <xf numFmtId="10" fontId="14" fillId="11" borderId="12" xfId="0" applyNumberFormat="1" applyFont="1" applyFill="1" applyBorder="1" applyAlignment="1">
      <alignment vertical="center"/>
    </xf>
    <xf numFmtId="0" fontId="23" fillId="11" borderId="0" xfId="0" applyFont="1" applyFill="1" applyAlignment="1">
      <alignment horizontal="left" vertical="center" indent="1"/>
    </xf>
    <xf numFmtId="2" fontId="14"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7" fillId="11" borderId="11" xfId="0" applyFont="1" applyFill="1" applyBorder="1" applyAlignment="1">
      <alignment horizontal="left" vertical="center" wrapText="1"/>
    </xf>
    <xf numFmtId="10" fontId="18" fillId="11" borderId="12" xfId="0" applyNumberFormat="1" applyFont="1" applyFill="1" applyBorder="1" applyAlignment="1">
      <alignment vertical="center"/>
    </xf>
    <xf numFmtId="0" fontId="12" fillId="12" borderId="0" xfId="0" applyFont="1" applyFill="1" applyAlignment="1">
      <alignment horizontal="left" vertical="center" indent="1"/>
    </xf>
    <xf numFmtId="164" fontId="14" fillId="11" borderId="9" xfId="0" applyNumberFormat="1" applyFont="1" applyFill="1" applyBorder="1" applyAlignment="1">
      <alignment horizontal="right" vertical="center"/>
    </xf>
    <xf numFmtId="10" fontId="18" fillId="11" borderId="9" xfId="0" applyNumberFormat="1" applyFont="1" applyFill="1" applyBorder="1" applyAlignment="1">
      <alignment horizontal="right" vertical="center"/>
    </xf>
    <xf numFmtId="10" fontId="18" fillId="11" borderId="12" xfId="0" applyNumberFormat="1" applyFont="1" applyFill="1" applyBorder="1" applyAlignment="1">
      <alignment horizontal="right" vertical="center"/>
    </xf>
    <xf numFmtId="9" fontId="12" fillId="10" borderId="2"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2" fillId="12" borderId="0" xfId="0" applyFont="1" applyFill="1" applyAlignment="1">
      <alignment horizontal="left" vertical="center" wrapText="1" indent="2"/>
    </xf>
    <xf numFmtId="9" fontId="15" fillId="10" borderId="7" xfId="1" applyFont="1" applyFill="1" applyBorder="1" applyAlignment="1">
      <alignment horizontal="center" vertical="center"/>
    </xf>
    <xf numFmtId="9" fontId="15"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0" xfId="0" applyFont="1" applyFill="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https://www.bing.com/financeapi/forcetrigger?t=a2re2w&amp;q=OTCM%3aOTCM&amp;form=skydnc</v>
    <v>Learn more on Bing</v>
  </rv>
  <rv s="1">
    <v>0</v>
    <v>OTC MARKETS GROUP INC. (OTCM:OTCM)</v>
    <v>2</v>
    <v>3</v>
    <v>Finance</v>
    <v>4</v>
    <v>en-US</v>
    <v>a2re2w</v>
    <v>268435456</v>
    <v>1</v>
    <v>Powered by Refinitiv</v>
    <v>64.989999999999995</v>
    <v>49.500100000000003</v>
    <v>0.66920000000000002</v>
    <v>-0.49</v>
    <v>-8.4480000000000006E-3</v>
    <v>USD</v>
    <v>OTC Markets Group Inc. operates regulated markets for trading 12,000 United States and international securities. The Company’s three public markets include OTCQX Best Market, OTCQB Venture Market and Pink Open Market. It operates three business lines: OTC Link, Market Data Licensing, and Corporate Services. Its wholly owned subsidiary, OTC Link LLC, operates OTC Link ATS, OTC Link ECN, and OTC Link NQB, each a Securities and Exchange Commission (SEC)-regulated alternative trading system (ATS). Market Data Licensing distributes market data and financial information. Corporate Services operates the OTCQX and OTCQB markets and offers issuers disclosure and regulatory compliance products. It provides critical infrastructure to the United States financial markets, connecting brokers, organizing markets, and incentivizing disclosure. Its market data provides price transparency, assists regulated entities in meeting their compliance obligations, and enables informed investment decisions.</v>
    <v>82</v>
    <v>OTC Markets</v>
    <v>OTCM</v>
    <v>OTCM</v>
    <v>304 Hudson Street, NEW YORK, NY, 10013 US</v>
    <v>58.51</v>
    <v>Investment Banking &amp; Investment Services</v>
    <v>Stock</v>
    <v>45238.863319397657</v>
    <v>0</v>
    <v>57.51</v>
    <v>685694605</v>
    <v>OTC MARKETS GROUP INC.</v>
    <v>OTC MARKETS GROUP INC.</v>
    <v>57.99</v>
    <v>23.349799999999998</v>
    <v>58</v>
    <v>57.51</v>
    <v>11923050</v>
    <v>OTCM</v>
    <v>OTC MARKETS GROUP INC. (OTCM:OTCM)</v>
    <v>8403</v>
    <v>5590</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OTCM%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OTCPK:OTC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68" workbookViewId="0">
      <pane xSplit="1" topLeftCell="E1" activePane="topRight" state="frozen"/>
      <selection pane="topRight" activeCell="A190" sqref="A190:XFD190"/>
    </sheetView>
  </sheetViews>
  <sheetFormatPr baseColWidth="10" defaultRowHeight="15" x14ac:dyDescent="0.2"/>
  <cols>
    <col min="1" max="1" width="40.83203125" customWidth="1"/>
    <col min="2" max="20" width="13.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195</v>
      </c>
    </row>
    <row r="2" spans="1:19" ht="16" x14ac:dyDescent="0.2">
      <c r="A2" s="28" t="s">
        <v>18</v>
      </c>
      <c r="B2" s="26">
        <v>27969999</v>
      </c>
      <c r="C2" s="26">
        <v>32990000</v>
      </c>
      <c r="D2" s="26">
        <v>33184000</v>
      </c>
      <c r="E2" s="26">
        <v>33640000</v>
      </c>
      <c r="F2" s="26">
        <v>39827000</v>
      </c>
      <c r="G2" s="26">
        <v>47530000</v>
      </c>
      <c r="H2" s="26">
        <v>48565000</v>
      </c>
      <c r="I2" s="26">
        <v>52176000</v>
      </c>
      <c r="J2" s="26">
        <v>56830000</v>
      </c>
      <c r="K2" s="26">
        <v>60350000</v>
      </c>
      <c r="L2" s="26">
        <v>68419000</v>
      </c>
      <c r="M2" s="26">
        <v>99911000</v>
      </c>
      <c r="N2" s="26">
        <v>105149000</v>
      </c>
      <c r="O2" s="27">
        <v>105672000</v>
      </c>
      <c r="P2" s="26">
        <v>25209000</v>
      </c>
      <c r="Q2" s="26">
        <v>25141000</v>
      </c>
      <c r="R2" s="26">
        <v>27295000</v>
      </c>
      <c r="S2" s="26">
        <v>28027000</v>
      </c>
    </row>
    <row r="3" spans="1:19" ht="16" x14ac:dyDescent="0.2">
      <c r="A3" s="9" t="s">
        <v>191</v>
      </c>
      <c r="B3" s="10"/>
      <c r="C3" s="11">
        <f>(C2/B2)-1</f>
        <v>0.17947805432527897</v>
      </c>
      <c r="D3" s="11">
        <f>(D2/C2)-1</f>
        <v>5.8805698696575703E-3</v>
      </c>
      <c r="E3" s="11">
        <f>(E2/D2)-1</f>
        <v>1.3741562198649859E-2</v>
      </c>
      <c r="F3" s="11">
        <f>(F2/E2)-1</f>
        <v>0.18391795481569551</v>
      </c>
      <c r="G3" s="11">
        <f>(G2/F2)-1</f>
        <v>0.19341150475807867</v>
      </c>
      <c r="H3" s="11">
        <f>(H2/G2)-1</f>
        <v>2.1775720597517312E-2</v>
      </c>
      <c r="I3" s="11">
        <f>(I2/H2)-1</f>
        <v>7.4353958612169313E-2</v>
      </c>
      <c r="J3" s="11">
        <f>(J2/I2)-1</f>
        <v>8.9198098742717002E-2</v>
      </c>
      <c r="K3" s="11">
        <f>(K2/J2)-1</f>
        <v>6.1939116663733973E-2</v>
      </c>
      <c r="L3" s="11">
        <f>(L2/K2)-1</f>
        <v>0.13370339685169852</v>
      </c>
      <c r="M3" s="11">
        <f>(M2/L2)-1</f>
        <v>0.46028150075271479</v>
      </c>
      <c r="N3" s="11">
        <f>(N2/M2)-1</f>
        <v>5.242665972715721E-2</v>
      </c>
      <c r="O3" s="11">
        <f>(O2/N2)-1</f>
        <v>4.9738941882471188E-3</v>
      </c>
      <c r="P3" s="11"/>
      <c r="Q3" s="11">
        <f>(Q2/P2)-1</f>
        <v>-2.697449323654233E-3</v>
      </c>
      <c r="R3" s="11">
        <f>(R2/Q2)-1</f>
        <v>8.5676782944194674E-2</v>
      </c>
      <c r="S3" s="11">
        <f>(S2/R2)-1</f>
        <v>2.6818098552848557E-2</v>
      </c>
    </row>
    <row r="4" spans="1:19" ht="16" x14ac:dyDescent="0.2">
      <c r="A4" s="2" t="s">
        <v>19</v>
      </c>
      <c r="B4" s="3">
        <v>27969999</v>
      </c>
      <c r="C4" s="3">
        <v>32990000</v>
      </c>
      <c r="D4" s="3">
        <v>33184000</v>
      </c>
      <c r="E4" s="3">
        <v>33640000</v>
      </c>
      <c r="F4" s="3">
        <v>39827000</v>
      </c>
      <c r="G4" s="3">
        <v>47530000</v>
      </c>
      <c r="H4" s="3">
        <v>48565000</v>
      </c>
      <c r="I4" s="3">
        <v>52176000</v>
      </c>
      <c r="J4" s="3">
        <v>56830000</v>
      </c>
      <c r="K4" s="3">
        <v>60350000</v>
      </c>
      <c r="L4" s="3">
        <v>68419000</v>
      </c>
      <c r="M4" s="3">
        <v>99911000</v>
      </c>
      <c r="N4" s="3">
        <v>105149000</v>
      </c>
      <c r="O4" s="4">
        <v>105672000</v>
      </c>
      <c r="P4" s="3">
        <v>25209000</v>
      </c>
      <c r="Q4" s="3">
        <v>25141000</v>
      </c>
      <c r="R4" s="3">
        <v>27295000</v>
      </c>
      <c r="S4" s="3">
        <v>28027000</v>
      </c>
    </row>
    <row r="5" spans="1:19" ht="16" x14ac:dyDescent="0.2">
      <c r="A5" s="2" t="s">
        <v>20</v>
      </c>
      <c r="B5" s="3">
        <v>12270000</v>
      </c>
      <c r="C5" s="3">
        <v>14305000</v>
      </c>
      <c r="D5" s="3">
        <v>12908000</v>
      </c>
      <c r="E5" s="3">
        <v>14339000</v>
      </c>
      <c r="F5" s="3">
        <v>15632000</v>
      </c>
      <c r="G5" s="3">
        <v>18716000</v>
      </c>
      <c r="H5" s="3">
        <v>19591000</v>
      </c>
      <c r="I5" s="3">
        <v>21481000</v>
      </c>
      <c r="J5" s="3">
        <v>24195000</v>
      </c>
      <c r="K5" s="3">
        <v>27740000</v>
      </c>
      <c r="L5" s="3">
        <v>31918000</v>
      </c>
      <c r="M5" s="3">
        <v>43322000</v>
      </c>
      <c r="N5" s="3">
        <v>46533000</v>
      </c>
      <c r="O5" s="4">
        <v>46947000</v>
      </c>
      <c r="P5" s="3">
        <v>10403000</v>
      </c>
      <c r="Q5" s="3">
        <v>10736000</v>
      </c>
      <c r="R5" s="3">
        <v>11313000</v>
      </c>
      <c r="S5" s="3">
        <v>14495000</v>
      </c>
    </row>
    <row r="6" spans="1:19" ht="16" x14ac:dyDescent="0.2">
      <c r="A6" s="2" t="s">
        <v>21</v>
      </c>
      <c r="B6" s="3">
        <v>12270000</v>
      </c>
      <c r="C6" s="3">
        <v>14305000</v>
      </c>
      <c r="D6" s="3">
        <v>12908000</v>
      </c>
      <c r="E6" s="3">
        <v>14339000</v>
      </c>
      <c r="F6" s="3">
        <v>15632000</v>
      </c>
      <c r="G6" s="3">
        <v>18716000</v>
      </c>
      <c r="H6" s="3">
        <v>19591000</v>
      </c>
      <c r="I6" s="3">
        <v>21481000</v>
      </c>
      <c r="J6" s="3">
        <v>24195000</v>
      </c>
      <c r="K6" s="3">
        <v>27740000</v>
      </c>
      <c r="L6" s="3">
        <v>31918000</v>
      </c>
      <c r="M6" s="3">
        <v>43322000</v>
      </c>
      <c r="N6" s="3">
        <v>46533000</v>
      </c>
      <c r="O6" s="4">
        <v>46947000</v>
      </c>
      <c r="P6" s="3">
        <v>10403000</v>
      </c>
      <c r="Q6" s="3">
        <v>10736000</v>
      </c>
      <c r="R6" s="3">
        <v>11313000</v>
      </c>
      <c r="S6" s="3">
        <v>14495000</v>
      </c>
    </row>
    <row r="7" spans="1:19" ht="16" x14ac:dyDescent="0.2">
      <c r="A7" s="28" t="s">
        <v>22</v>
      </c>
      <c r="B7" s="26">
        <v>15769000</v>
      </c>
      <c r="C7" s="26">
        <v>18646000</v>
      </c>
      <c r="D7" s="26">
        <v>20276000</v>
      </c>
      <c r="E7" s="26">
        <v>19301000</v>
      </c>
      <c r="F7" s="26">
        <v>24195000</v>
      </c>
      <c r="G7" s="26">
        <v>28814000</v>
      </c>
      <c r="H7" s="26">
        <v>28974000</v>
      </c>
      <c r="I7" s="26">
        <v>30695000</v>
      </c>
      <c r="J7" s="26">
        <v>32635000</v>
      </c>
      <c r="K7" s="26">
        <v>32610000</v>
      </c>
      <c r="L7" s="26">
        <v>36501000</v>
      </c>
      <c r="M7" s="26">
        <v>56589000</v>
      </c>
      <c r="N7" s="26">
        <v>58616000</v>
      </c>
      <c r="O7" s="27">
        <v>58725000</v>
      </c>
      <c r="P7" s="26">
        <v>14806000</v>
      </c>
      <c r="Q7" s="26">
        <v>14405000</v>
      </c>
      <c r="R7" s="26">
        <v>15982000</v>
      </c>
      <c r="S7" s="26">
        <v>13532000</v>
      </c>
    </row>
    <row r="8" spans="1:19" ht="16" x14ac:dyDescent="0.2">
      <c r="A8" s="31" t="s">
        <v>58</v>
      </c>
      <c r="B8" s="32">
        <v>56.13</v>
      </c>
      <c r="C8" s="32">
        <v>56.64</v>
      </c>
      <c r="D8" s="32">
        <v>61.1</v>
      </c>
      <c r="E8" s="32">
        <v>57.38</v>
      </c>
      <c r="F8" s="32">
        <v>60.75</v>
      </c>
      <c r="G8" s="32">
        <v>60.62</v>
      </c>
      <c r="H8" s="32">
        <v>59.66</v>
      </c>
      <c r="I8" s="32">
        <v>58.83</v>
      </c>
      <c r="J8" s="32">
        <v>57.43</v>
      </c>
      <c r="K8" s="32">
        <v>54.03</v>
      </c>
      <c r="L8" s="32">
        <v>53.35</v>
      </c>
      <c r="M8" s="32">
        <v>56.64</v>
      </c>
      <c r="N8" s="32">
        <v>55.75</v>
      </c>
      <c r="O8" s="33">
        <v>55.57</v>
      </c>
      <c r="P8" s="32">
        <v>58.73</v>
      </c>
      <c r="Q8" s="32">
        <v>57.3</v>
      </c>
      <c r="R8" s="32">
        <v>58.55</v>
      </c>
      <c r="S8" s="32">
        <v>48.28</v>
      </c>
    </row>
    <row r="9" spans="1:19" ht="16" x14ac:dyDescent="0.2">
      <c r="A9" s="2" t="s">
        <v>23</v>
      </c>
      <c r="B9" s="3">
        <v>69012</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10638000</v>
      </c>
      <c r="C10" s="3">
        <v>11540000</v>
      </c>
      <c r="D10" s="3">
        <v>11320000</v>
      </c>
      <c r="E10" s="3">
        <v>11003000</v>
      </c>
      <c r="F10" s="3">
        <v>11293000</v>
      </c>
      <c r="G10" s="3">
        <v>11948000</v>
      </c>
      <c r="H10" s="3">
        <v>12047000</v>
      </c>
      <c r="I10" s="3">
        <v>12391000</v>
      </c>
      <c r="J10" s="3">
        <v>12990000</v>
      </c>
      <c r="K10" s="3">
        <v>14728000</v>
      </c>
      <c r="L10" s="3">
        <v>15067000</v>
      </c>
      <c r="M10" s="3">
        <v>18573000</v>
      </c>
      <c r="N10" s="3">
        <v>21795000</v>
      </c>
      <c r="O10" s="4">
        <v>23625000</v>
      </c>
      <c r="P10" s="3">
        <v>5544000</v>
      </c>
      <c r="Q10" s="3">
        <v>5368000</v>
      </c>
      <c r="R10" s="3">
        <v>6104000</v>
      </c>
      <c r="S10" s="3">
        <v>6609000</v>
      </c>
    </row>
    <row r="11" spans="1:19" ht="16" x14ac:dyDescent="0.2">
      <c r="A11" s="23" t="s">
        <v>26</v>
      </c>
      <c r="B11" s="26">
        <v>16911439</v>
      </c>
      <c r="C11" s="26">
        <v>20177000</v>
      </c>
      <c r="D11" s="26">
        <v>9698000</v>
      </c>
      <c r="E11" s="26">
        <v>9361000</v>
      </c>
      <c r="F11" s="26">
        <v>9750000</v>
      </c>
      <c r="G11" s="26">
        <v>10256000</v>
      </c>
      <c r="H11" s="26">
        <v>10441000</v>
      </c>
      <c r="I11" s="26">
        <v>11030000</v>
      </c>
      <c r="J11" s="26">
        <v>11948000</v>
      </c>
      <c r="K11" s="26">
        <v>13236000</v>
      </c>
      <c r="L11" s="26">
        <v>13306000</v>
      </c>
      <c r="M11" s="26">
        <v>16777000</v>
      </c>
      <c r="N11" s="26">
        <v>19703000</v>
      </c>
      <c r="O11" s="27">
        <v>21323000</v>
      </c>
      <c r="P11" s="26">
        <v>5048000</v>
      </c>
      <c r="Q11" s="26">
        <v>4812000</v>
      </c>
      <c r="R11" s="26">
        <v>5504000</v>
      </c>
      <c r="S11" s="26">
        <v>5959000</v>
      </c>
    </row>
    <row r="12" spans="1:19" ht="16" x14ac:dyDescent="0.2">
      <c r="A12" s="12" t="s">
        <v>192</v>
      </c>
      <c r="B12" s="11">
        <f>B11/B2</f>
        <v>0.60462780138104399</v>
      </c>
      <c r="C12" s="11">
        <f>C11/C2</f>
        <v>0.61160957866020005</v>
      </c>
      <c r="D12" s="11">
        <f>D11/D2</f>
        <v>0.29224927675988427</v>
      </c>
      <c r="E12" s="11">
        <f>E11/E2</f>
        <v>0.27826991676575508</v>
      </c>
      <c r="F12" s="11">
        <f>F11/F2</f>
        <v>0.24480879805157305</v>
      </c>
      <c r="G12" s="11">
        <f>G11/G2</f>
        <v>0.21577950767936041</v>
      </c>
      <c r="H12" s="11">
        <f>H11/H2</f>
        <v>0.21499021929373005</v>
      </c>
      <c r="I12" s="11">
        <f>I11/I2</f>
        <v>0.21139987733823981</v>
      </c>
      <c r="J12" s="11">
        <f>J11/J2</f>
        <v>0.21024106985746965</v>
      </c>
      <c r="K12" s="11">
        <f>K11/K2</f>
        <v>0.21932062966031482</v>
      </c>
      <c r="L12" s="11">
        <f>L11/L2</f>
        <v>0.1944781420365688</v>
      </c>
      <c r="M12" s="11">
        <f>M11/M2</f>
        <v>0.167919448308995</v>
      </c>
      <c r="N12" s="11">
        <f>N11/N2</f>
        <v>0.18738171547042767</v>
      </c>
      <c r="O12" s="11">
        <f>O11/O2</f>
        <v>0.20178476796123854</v>
      </c>
      <c r="P12" s="11">
        <f>P11/P2</f>
        <v>0.20024594390892142</v>
      </c>
      <c r="Q12" s="11">
        <f>Q11/Q2</f>
        <v>0.19140050117338211</v>
      </c>
      <c r="R12" s="11">
        <f>R11/R2</f>
        <v>0.20164865359956036</v>
      </c>
      <c r="S12" s="11">
        <f>S11/S2</f>
        <v>0.21261640560887715</v>
      </c>
    </row>
    <row r="13" spans="1:19" ht="16" x14ac:dyDescent="0.2">
      <c r="A13" s="23" t="s">
        <v>27</v>
      </c>
      <c r="B13" s="26">
        <v>0</v>
      </c>
      <c r="C13" s="26">
        <v>0</v>
      </c>
      <c r="D13" s="26">
        <v>0</v>
      </c>
      <c r="E13" s="26">
        <v>0</v>
      </c>
      <c r="F13" s="26">
        <v>0</v>
      </c>
      <c r="G13" s="26">
        <v>0</v>
      </c>
      <c r="H13" s="26">
        <v>0</v>
      </c>
      <c r="I13" s="26">
        <v>0</v>
      </c>
      <c r="J13" s="26">
        <v>0</v>
      </c>
      <c r="K13" s="26">
        <v>0</v>
      </c>
      <c r="L13" s="26">
        <v>0</v>
      </c>
      <c r="M13" s="26">
        <v>0</v>
      </c>
      <c r="N13" s="26">
        <v>0</v>
      </c>
      <c r="O13" s="27">
        <v>0</v>
      </c>
      <c r="P13" s="26">
        <v>0</v>
      </c>
      <c r="Q13" s="26">
        <v>0</v>
      </c>
      <c r="R13" s="26">
        <v>0</v>
      </c>
      <c r="S13" s="26">
        <v>0</v>
      </c>
    </row>
    <row r="14" spans="1:19" ht="16" x14ac:dyDescent="0.2">
      <c r="A14" s="12" t="s">
        <v>193</v>
      </c>
      <c r="B14" s="11">
        <f>B13/B2</f>
        <v>0</v>
      </c>
      <c r="C14" s="11">
        <f>C13/C2</f>
        <v>0</v>
      </c>
      <c r="D14" s="11">
        <f>D13/D2</f>
        <v>0</v>
      </c>
      <c r="E14" s="11">
        <f>E13/E2</f>
        <v>0</v>
      </c>
      <c r="F14" s="11">
        <f>F13/F2</f>
        <v>0</v>
      </c>
      <c r="G14" s="11">
        <f>G13/G2</f>
        <v>0</v>
      </c>
      <c r="H14" s="11">
        <f>H13/H2</f>
        <v>0</v>
      </c>
      <c r="I14" s="11">
        <f>I13/I2</f>
        <v>0</v>
      </c>
      <c r="J14" s="11">
        <f>J13/J2</f>
        <v>0</v>
      </c>
      <c r="K14" s="11">
        <f>K13/K2</f>
        <v>0</v>
      </c>
      <c r="L14" s="11">
        <f>L13/L2</f>
        <v>0</v>
      </c>
      <c r="M14" s="11">
        <f>M13/M2</f>
        <v>0</v>
      </c>
      <c r="N14" s="11">
        <f>N13/N2</f>
        <v>0</v>
      </c>
      <c r="O14" s="11">
        <f>O13/O2</f>
        <v>0</v>
      </c>
      <c r="P14" s="11">
        <f>P13/P2</f>
        <v>0</v>
      </c>
      <c r="Q14" s="11">
        <f>Q13/Q2</f>
        <v>0</v>
      </c>
      <c r="R14" s="11">
        <f>R13/R2</f>
        <v>0</v>
      </c>
      <c r="S14" s="11">
        <f>S13/S2</f>
        <v>0</v>
      </c>
    </row>
    <row r="15" spans="1:19" ht="16" x14ac:dyDescent="0.2">
      <c r="A15" s="2" t="s">
        <v>28</v>
      </c>
      <c r="B15" s="3">
        <v>-6273439</v>
      </c>
      <c r="C15" s="3">
        <v>-8637000</v>
      </c>
      <c r="D15" s="3">
        <v>1622000</v>
      </c>
      <c r="E15" s="3">
        <v>1642000</v>
      </c>
      <c r="F15" s="3">
        <v>1543000</v>
      </c>
      <c r="G15" s="3">
        <v>1692000</v>
      </c>
      <c r="H15" s="3">
        <v>1606000</v>
      </c>
      <c r="I15" s="3">
        <v>1361000</v>
      </c>
      <c r="J15" s="3">
        <v>1042000</v>
      </c>
      <c r="K15" s="3">
        <v>1492000</v>
      </c>
      <c r="L15" s="3">
        <v>1761000</v>
      </c>
      <c r="M15" s="3">
        <v>1796000</v>
      </c>
      <c r="N15" s="3">
        <v>2092000</v>
      </c>
      <c r="O15" s="4">
        <v>2302000</v>
      </c>
      <c r="P15" s="3">
        <v>496000</v>
      </c>
      <c r="Q15" s="3">
        <v>556000</v>
      </c>
      <c r="R15" s="3">
        <v>600000</v>
      </c>
      <c r="S15" s="3">
        <v>650000</v>
      </c>
    </row>
    <row r="16" spans="1:19" ht="16" x14ac:dyDescent="0.2">
      <c r="A16" s="28" t="s">
        <v>29</v>
      </c>
      <c r="B16" s="26">
        <v>5061988</v>
      </c>
      <c r="C16" s="26">
        <v>7106000</v>
      </c>
      <c r="D16" s="26">
        <v>8956000</v>
      </c>
      <c r="E16" s="26">
        <v>8298000</v>
      </c>
      <c r="F16" s="26">
        <v>12902000</v>
      </c>
      <c r="G16" s="26">
        <v>16866000</v>
      </c>
      <c r="H16" s="26">
        <v>16927000</v>
      </c>
      <c r="I16" s="26">
        <v>18304000</v>
      </c>
      <c r="J16" s="26">
        <v>19645000</v>
      </c>
      <c r="K16" s="26">
        <v>17882000</v>
      </c>
      <c r="L16" s="26">
        <v>21434000</v>
      </c>
      <c r="M16" s="26">
        <v>38016000</v>
      </c>
      <c r="N16" s="26">
        <v>36821000</v>
      </c>
      <c r="O16" s="27">
        <v>35100000</v>
      </c>
      <c r="P16" s="26">
        <v>9262000</v>
      </c>
      <c r="Q16" s="26">
        <v>9037000</v>
      </c>
      <c r="R16" s="26">
        <v>9878000</v>
      </c>
      <c r="S16" s="26">
        <v>6923000</v>
      </c>
    </row>
    <row r="17" spans="1:19" ht="16" x14ac:dyDescent="0.2">
      <c r="A17" s="23" t="s">
        <v>59</v>
      </c>
      <c r="B17" s="29">
        <v>18.100000000000001</v>
      </c>
      <c r="C17" s="29">
        <v>21.54</v>
      </c>
      <c r="D17" s="29">
        <v>26.99</v>
      </c>
      <c r="E17" s="29">
        <v>24.67</v>
      </c>
      <c r="F17" s="29">
        <v>32.4</v>
      </c>
      <c r="G17" s="29">
        <v>35.479999999999997</v>
      </c>
      <c r="H17" s="29">
        <v>34.85</v>
      </c>
      <c r="I17" s="29">
        <v>35.08</v>
      </c>
      <c r="J17" s="29">
        <v>34.57</v>
      </c>
      <c r="K17" s="29">
        <v>29.63</v>
      </c>
      <c r="L17" s="29">
        <v>31.33</v>
      </c>
      <c r="M17" s="29">
        <v>38.049999999999997</v>
      </c>
      <c r="N17" s="29">
        <v>35.020000000000003</v>
      </c>
      <c r="O17" s="30">
        <v>33.22</v>
      </c>
      <c r="P17" s="29">
        <v>36.74</v>
      </c>
      <c r="Q17" s="29">
        <v>35.950000000000003</v>
      </c>
      <c r="R17" s="29">
        <v>36.19</v>
      </c>
      <c r="S17" s="29">
        <v>24.7</v>
      </c>
    </row>
    <row r="18" spans="1:19" ht="16" x14ac:dyDescent="0.2">
      <c r="A18" s="13" t="s">
        <v>194</v>
      </c>
      <c r="B18" s="10"/>
      <c r="C18" s="11">
        <f>(C16/B16)-1</f>
        <v>0.40379629505245762</v>
      </c>
      <c r="D18" s="11">
        <f>(D16/C16)-1</f>
        <v>0.26034337179848022</v>
      </c>
      <c r="E18" s="11">
        <f>(E16/D16)-1</f>
        <v>-7.3470299240732451E-2</v>
      </c>
      <c r="F18" s="11">
        <f t="shared" ref="F18:N18" si="0">(F16/E16)-1</f>
        <v>0.55483248975656774</v>
      </c>
      <c r="G18" s="11">
        <f t="shared" si="0"/>
        <v>0.30723918772283376</v>
      </c>
      <c r="H18" s="11">
        <f t="shared" si="0"/>
        <v>3.6167437448120232E-3</v>
      </c>
      <c r="I18" s="11">
        <f t="shared" si="0"/>
        <v>8.1349323565900633E-2</v>
      </c>
      <c r="J18" s="11">
        <f t="shared" si="0"/>
        <v>7.3262674825174789E-2</v>
      </c>
      <c r="K18" s="11">
        <f t="shared" si="0"/>
        <v>-8.974293713413084E-2</v>
      </c>
      <c r="L18" s="11">
        <f t="shared" si="0"/>
        <v>0.19863549938485625</v>
      </c>
      <c r="M18" s="11">
        <f t="shared" si="0"/>
        <v>0.77363068022767556</v>
      </c>
      <c r="N18" s="11">
        <f t="shared" si="0"/>
        <v>-3.1434132996633002E-2</v>
      </c>
      <c r="O18" s="11">
        <f>(O16/N16)-1</f>
        <v>-4.6739632275060394E-2</v>
      </c>
      <c r="P18" s="11"/>
      <c r="Q18" s="11">
        <f>(Q16/P16)-1</f>
        <v>-2.4292809328438802E-2</v>
      </c>
      <c r="R18" s="11">
        <f>(R16/Q16)-1</f>
        <v>9.3061856810888521E-2</v>
      </c>
      <c r="S18" s="11">
        <f>(S16/R16)-1</f>
        <v>-0.29914962543024903</v>
      </c>
    </row>
    <row r="19" spans="1:19" ht="16" x14ac:dyDescent="0.2">
      <c r="A19" s="2" t="s">
        <v>30</v>
      </c>
      <c r="B19" s="3" t="s">
        <v>24</v>
      </c>
      <c r="C19" s="3">
        <v>115000</v>
      </c>
      <c r="D19" s="3">
        <v>-30000</v>
      </c>
      <c r="E19" s="3">
        <v>2000</v>
      </c>
      <c r="F19" s="3">
        <v>-9000</v>
      </c>
      <c r="G19" s="3">
        <v>-27000</v>
      </c>
      <c r="H19" s="3">
        <v>-8000</v>
      </c>
      <c r="I19" s="3">
        <v>-47000</v>
      </c>
      <c r="J19" s="3">
        <v>-116000</v>
      </c>
      <c r="K19" s="3">
        <v>-103000</v>
      </c>
      <c r="L19" s="3">
        <v>27000</v>
      </c>
      <c r="M19" s="3">
        <v>51000</v>
      </c>
      <c r="N19" s="3">
        <v>-145000</v>
      </c>
      <c r="O19" s="4">
        <v>-292000</v>
      </c>
      <c r="P19" s="3">
        <v>9000</v>
      </c>
      <c r="Q19" s="3">
        <v>-1000</v>
      </c>
      <c r="R19" s="3">
        <v>-153000</v>
      </c>
      <c r="S19" s="3">
        <v>-147000</v>
      </c>
    </row>
    <row r="20" spans="1:19" ht="16" x14ac:dyDescent="0.2">
      <c r="A20" s="2" t="s">
        <v>31</v>
      </c>
      <c r="B20" s="3">
        <v>-101000</v>
      </c>
      <c r="C20" s="3">
        <v>-39000</v>
      </c>
      <c r="D20" s="3">
        <v>-14000</v>
      </c>
      <c r="E20" s="3">
        <v>-2000</v>
      </c>
      <c r="F20" s="3" t="s">
        <v>24</v>
      </c>
      <c r="G20" s="3" t="s">
        <v>24</v>
      </c>
      <c r="H20" s="3">
        <v>-3000</v>
      </c>
      <c r="I20" s="3">
        <v>-21000</v>
      </c>
      <c r="J20" s="3">
        <v>-76000</v>
      </c>
      <c r="K20" s="3">
        <v>-109000</v>
      </c>
      <c r="L20" s="3">
        <v>-19000</v>
      </c>
      <c r="M20" s="3">
        <v>-1000</v>
      </c>
      <c r="N20" s="3">
        <v>-155000</v>
      </c>
      <c r="O20" s="4">
        <v>-295000</v>
      </c>
      <c r="P20" s="3" t="s">
        <v>24</v>
      </c>
      <c r="Q20" s="3">
        <v>-1000</v>
      </c>
      <c r="R20" s="3">
        <v>-153000</v>
      </c>
      <c r="S20" s="3">
        <v>-141000</v>
      </c>
    </row>
    <row r="21" spans="1:19" ht="16" x14ac:dyDescent="0.2">
      <c r="A21" s="2" t="s">
        <v>32</v>
      </c>
      <c r="B21" s="3">
        <v>-85000</v>
      </c>
      <c r="C21" s="3" t="s">
        <v>24</v>
      </c>
      <c r="D21" s="3" t="s">
        <v>24</v>
      </c>
      <c r="E21" s="3" t="s">
        <v>24</v>
      </c>
      <c r="F21" s="3" t="s">
        <v>24</v>
      </c>
      <c r="G21" s="3" t="s">
        <v>24</v>
      </c>
      <c r="H21" s="3" t="s">
        <v>24</v>
      </c>
      <c r="I21" s="3" t="s">
        <v>24</v>
      </c>
      <c r="J21" s="3" t="s">
        <v>24</v>
      </c>
      <c r="K21" s="3" t="s">
        <v>24</v>
      </c>
      <c r="L21" s="3" t="s">
        <v>24</v>
      </c>
      <c r="M21" s="3" t="s">
        <v>24</v>
      </c>
      <c r="N21" s="3" t="s">
        <v>24</v>
      </c>
      <c r="O21" s="4" t="s">
        <v>24</v>
      </c>
      <c r="P21" s="3" t="s">
        <v>24</v>
      </c>
      <c r="Q21" s="3" t="s">
        <v>24</v>
      </c>
      <c r="R21" s="3" t="s">
        <v>24</v>
      </c>
      <c r="S21" s="3" t="s">
        <v>24</v>
      </c>
    </row>
    <row r="22" spans="1:19" ht="16" x14ac:dyDescent="0.2">
      <c r="A22" s="2" t="s">
        <v>33</v>
      </c>
      <c r="B22" s="3">
        <v>16000</v>
      </c>
      <c r="C22" s="3">
        <v>39000</v>
      </c>
      <c r="D22" s="3">
        <v>14000</v>
      </c>
      <c r="E22" s="3">
        <v>2000</v>
      </c>
      <c r="F22" s="3" t="s">
        <v>24</v>
      </c>
      <c r="G22" s="3" t="s">
        <v>24</v>
      </c>
      <c r="H22" s="3">
        <v>3000</v>
      </c>
      <c r="I22" s="3">
        <v>21000</v>
      </c>
      <c r="J22" s="3">
        <v>76000</v>
      </c>
      <c r="K22" s="3">
        <v>109000</v>
      </c>
      <c r="L22" s="3">
        <v>19000</v>
      </c>
      <c r="M22" s="3">
        <v>1000</v>
      </c>
      <c r="N22" s="3">
        <v>155000</v>
      </c>
      <c r="O22" s="4">
        <v>295000</v>
      </c>
      <c r="P22" s="3" t="s">
        <v>24</v>
      </c>
      <c r="Q22" s="3">
        <v>1000</v>
      </c>
      <c r="R22" s="3">
        <v>153000</v>
      </c>
      <c r="S22" s="3">
        <v>141000</v>
      </c>
    </row>
    <row r="23" spans="1:19" ht="16" x14ac:dyDescent="0.2">
      <c r="A23" s="2" t="s">
        <v>34</v>
      </c>
      <c r="B23" s="3">
        <v>101000</v>
      </c>
      <c r="C23" s="3">
        <v>154000</v>
      </c>
      <c r="D23" s="3">
        <v>-16000</v>
      </c>
      <c r="E23" s="3">
        <v>4000</v>
      </c>
      <c r="F23" s="3">
        <v>-9000</v>
      </c>
      <c r="G23" s="3">
        <v>-27000</v>
      </c>
      <c r="H23" s="3">
        <v>-5000</v>
      </c>
      <c r="I23" s="3">
        <v>-26000</v>
      </c>
      <c r="J23" s="3">
        <v>-40000</v>
      </c>
      <c r="K23" s="3">
        <v>6000</v>
      </c>
      <c r="L23" s="3">
        <v>46000</v>
      </c>
      <c r="M23" s="3">
        <v>52000</v>
      </c>
      <c r="N23" s="3">
        <v>10000</v>
      </c>
      <c r="O23" s="4">
        <v>3000</v>
      </c>
      <c r="P23" s="3">
        <v>9000</v>
      </c>
      <c r="Q23" s="3" t="s">
        <v>24</v>
      </c>
      <c r="R23" s="3" t="s">
        <v>24</v>
      </c>
      <c r="S23" s="3">
        <v>-6000</v>
      </c>
    </row>
    <row r="24" spans="1:19" ht="16" x14ac:dyDescent="0.2">
      <c r="A24" s="2" t="s">
        <v>35</v>
      </c>
      <c r="B24" s="3">
        <v>5061988</v>
      </c>
      <c r="C24" s="3">
        <v>6991000</v>
      </c>
      <c r="D24" s="3">
        <v>8986000</v>
      </c>
      <c r="E24" s="3">
        <v>8296000</v>
      </c>
      <c r="F24" s="3">
        <v>12911000</v>
      </c>
      <c r="G24" s="3">
        <v>16893000</v>
      </c>
      <c r="H24" s="3">
        <v>16935000</v>
      </c>
      <c r="I24" s="3">
        <v>18351000</v>
      </c>
      <c r="J24" s="3">
        <v>19761000</v>
      </c>
      <c r="K24" s="3">
        <v>17985000</v>
      </c>
      <c r="L24" s="3">
        <v>21407000</v>
      </c>
      <c r="M24" s="3">
        <v>37965000</v>
      </c>
      <c r="N24" s="3">
        <v>36966000</v>
      </c>
      <c r="O24" s="4">
        <v>35392000</v>
      </c>
      <c r="P24" s="3">
        <v>9253000</v>
      </c>
      <c r="Q24" s="3">
        <v>9038000</v>
      </c>
      <c r="R24" s="3">
        <v>10031000</v>
      </c>
      <c r="S24" s="3">
        <v>7070000</v>
      </c>
    </row>
    <row r="25" spans="1:19" ht="16" x14ac:dyDescent="0.2">
      <c r="A25" s="2" t="s">
        <v>36</v>
      </c>
      <c r="B25" s="3">
        <v>2126876</v>
      </c>
      <c r="C25" s="3">
        <v>2139000</v>
      </c>
      <c r="D25" s="3">
        <v>3509000</v>
      </c>
      <c r="E25" s="3">
        <v>2665000</v>
      </c>
      <c r="F25" s="3">
        <v>5021000</v>
      </c>
      <c r="G25" s="3">
        <v>6635000</v>
      </c>
      <c r="H25" s="3">
        <v>6407000</v>
      </c>
      <c r="I25" s="3">
        <v>5792000</v>
      </c>
      <c r="J25" s="3">
        <v>3524000</v>
      </c>
      <c r="K25" s="3">
        <v>3043000</v>
      </c>
      <c r="L25" s="3">
        <v>3133000</v>
      </c>
      <c r="M25" s="3">
        <v>7489000</v>
      </c>
      <c r="N25" s="3">
        <v>6152000</v>
      </c>
      <c r="O25" s="4">
        <v>5873000</v>
      </c>
      <c r="P25" s="3">
        <v>1851000</v>
      </c>
      <c r="Q25" s="3">
        <v>1869000</v>
      </c>
      <c r="R25" s="3">
        <v>1402000</v>
      </c>
      <c r="S25" s="3">
        <v>751000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2935112</v>
      </c>
      <c r="C27" s="3">
        <v>4852000</v>
      </c>
      <c r="D27" s="3">
        <v>5477000</v>
      </c>
      <c r="E27" s="3">
        <v>5631000</v>
      </c>
      <c r="F27" s="3">
        <v>7890000</v>
      </c>
      <c r="G27" s="3">
        <v>10258000</v>
      </c>
      <c r="H27" s="3">
        <v>10528000</v>
      </c>
      <c r="I27" s="3">
        <v>12559000</v>
      </c>
      <c r="J27" s="3">
        <v>16237000</v>
      </c>
      <c r="K27" s="3">
        <v>14942000</v>
      </c>
      <c r="L27" s="3">
        <v>18274000</v>
      </c>
      <c r="M27" s="3">
        <v>30476000</v>
      </c>
      <c r="N27" s="3">
        <v>30814000</v>
      </c>
      <c r="O27" s="4">
        <v>29519000</v>
      </c>
      <c r="P27" s="3">
        <v>7402000</v>
      </c>
      <c r="Q27" s="3">
        <v>7169000</v>
      </c>
      <c r="R27" s="3">
        <v>8629000</v>
      </c>
      <c r="S27" s="3">
        <v>6319000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19" ht="16" x14ac:dyDescent="0.2">
      <c r="A31" s="2" t="s">
        <v>42</v>
      </c>
      <c r="B31" s="3">
        <v>2935112</v>
      </c>
      <c r="C31" s="3">
        <v>4852000</v>
      </c>
      <c r="D31" s="3">
        <v>5477000</v>
      </c>
      <c r="E31" s="3">
        <v>5631000</v>
      </c>
      <c r="F31" s="3">
        <v>7890000</v>
      </c>
      <c r="G31" s="3">
        <v>10258000</v>
      </c>
      <c r="H31" s="3">
        <v>10528000</v>
      </c>
      <c r="I31" s="3">
        <v>12559000</v>
      </c>
      <c r="J31" s="3">
        <v>16237000</v>
      </c>
      <c r="K31" s="3">
        <v>14942000</v>
      </c>
      <c r="L31" s="3">
        <v>18274000</v>
      </c>
      <c r="M31" s="3">
        <v>30476000</v>
      </c>
      <c r="N31" s="3">
        <v>30814000</v>
      </c>
      <c r="O31" s="4">
        <v>29519000</v>
      </c>
      <c r="P31" s="3">
        <v>7402000</v>
      </c>
      <c r="Q31" s="3">
        <v>7169000</v>
      </c>
      <c r="R31" s="3">
        <v>8629000</v>
      </c>
      <c r="S31" s="3">
        <v>6319000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28" t="s">
        <v>44</v>
      </c>
      <c r="B33" s="26">
        <v>2935112</v>
      </c>
      <c r="C33" s="26">
        <v>4852000</v>
      </c>
      <c r="D33" s="26">
        <v>5477000</v>
      </c>
      <c r="E33" s="26">
        <v>5631000</v>
      </c>
      <c r="F33" s="26">
        <v>7890000</v>
      </c>
      <c r="G33" s="26">
        <v>10258000</v>
      </c>
      <c r="H33" s="26">
        <v>10528000</v>
      </c>
      <c r="I33" s="26">
        <v>12559000</v>
      </c>
      <c r="J33" s="26">
        <v>16237000</v>
      </c>
      <c r="K33" s="26">
        <v>14942000</v>
      </c>
      <c r="L33" s="26">
        <v>18274000</v>
      </c>
      <c r="M33" s="26">
        <v>30476000</v>
      </c>
      <c r="N33" s="26">
        <v>30814000</v>
      </c>
      <c r="O33" s="27">
        <v>29519000</v>
      </c>
      <c r="P33" s="26">
        <v>7402000</v>
      </c>
      <c r="Q33" s="26">
        <v>7169000</v>
      </c>
      <c r="R33" s="26">
        <v>8629000</v>
      </c>
      <c r="S33" s="26">
        <v>6319000</v>
      </c>
    </row>
    <row r="34" spans="1:19" ht="16" x14ac:dyDescent="0.2">
      <c r="A34" s="23" t="s">
        <v>60</v>
      </c>
      <c r="B34" s="29">
        <v>10.49</v>
      </c>
      <c r="C34" s="29">
        <v>14.71</v>
      </c>
      <c r="D34" s="29">
        <v>16.5</v>
      </c>
      <c r="E34" s="29">
        <v>16.739999999999998</v>
      </c>
      <c r="F34" s="29">
        <v>19.809999999999999</v>
      </c>
      <c r="G34" s="29">
        <v>21.58</v>
      </c>
      <c r="H34" s="29">
        <v>21.68</v>
      </c>
      <c r="I34" s="29">
        <v>24.07</v>
      </c>
      <c r="J34" s="29">
        <v>28.57</v>
      </c>
      <c r="K34" s="29">
        <v>24.76</v>
      </c>
      <c r="L34" s="29">
        <v>26.71</v>
      </c>
      <c r="M34" s="29">
        <v>30.5</v>
      </c>
      <c r="N34" s="29">
        <v>29.31</v>
      </c>
      <c r="O34" s="30">
        <v>27.93</v>
      </c>
      <c r="P34" s="29">
        <v>29.36</v>
      </c>
      <c r="Q34" s="29">
        <v>28.52</v>
      </c>
      <c r="R34" s="29">
        <v>31.61</v>
      </c>
      <c r="S34" s="29">
        <v>22.55</v>
      </c>
    </row>
    <row r="35" spans="1:19" ht="16" x14ac:dyDescent="0.2">
      <c r="A35" s="14" t="s">
        <v>196</v>
      </c>
      <c r="B35" s="15"/>
      <c r="C35" s="16">
        <f>(C33/B33)-1</f>
        <v>0.65308853631479824</v>
      </c>
      <c r="D35" s="16">
        <f>(D33/C33)-1</f>
        <v>0.12881286067600994</v>
      </c>
      <c r="E35" s="16">
        <f>(E33/D33)-1</f>
        <v>2.8117582618221615E-2</v>
      </c>
      <c r="F35" s="16">
        <f t="shared" ref="F35:N35" si="1">(F33/E33)-1</f>
        <v>0.40117208311134789</v>
      </c>
      <c r="G35" s="16">
        <f t="shared" si="1"/>
        <v>0.300126742712294</v>
      </c>
      <c r="H35" s="16">
        <f t="shared" si="1"/>
        <v>2.6320920257360214E-2</v>
      </c>
      <c r="I35" s="16">
        <f t="shared" si="1"/>
        <v>0.19291413373860178</v>
      </c>
      <c r="J35" s="16">
        <f t="shared" si="1"/>
        <v>0.29285771160124208</v>
      </c>
      <c r="K35" s="16">
        <f t="shared" si="1"/>
        <v>-7.9756112582373584E-2</v>
      </c>
      <c r="L35" s="16">
        <f t="shared" si="1"/>
        <v>0.22299558292062649</v>
      </c>
      <c r="M35" s="16">
        <f t="shared" si="1"/>
        <v>0.66772463609499844</v>
      </c>
      <c r="N35" s="16">
        <f t="shared" si="1"/>
        <v>1.10906943168394E-2</v>
      </c>
      <c r="O35" s="16">
        <f>(O33/N33)-1</f>
        <v>-4.2026351658337124E-2</v>
      </c>
      <c r="P35" s="16"/>
      <c r="Q35" s="16">
        <f>(Q33/P33)-1</f>
        <v>-3.1477978924615013E-2</v>
      </c>
      <c r="R35" s="16">
        <f>(R33/Q33)-1</f>
        <v>0.20365462407588231</v>
      </c>
      <c r="S35" s="16">
        <f>(S33/R33)-1</f>
        <v>-0.26770193533433773</v>
      </c>
    </row>
    <row r="36" spans="1:19" ht="16" x14ac:dyDescent="0.2">
      <c r="A36" s="17" t="s">
        <v>197</v>
      </c>
      <c r="B36" s="18" t="e">
        <f t="shared" ref="B36:S36" si="2">(B16*(1-0.25))/(B126+B105+B96)</f>
        <v>#VALUE!</v>
      </c>
      <c r="C36" s="18" t="e">
        <f t="shared" si="2"/>
        <v>#VALUE!</v>
      </c>
      <c r="D36" s="18" t="e">
        <f t="shared" si="2"/>
        <v>#VALUE!</v>
      </c>
      <c r="E36" s="18" t="e">
        <f t="shared" si="2"/>
        <v>#VALUE!</v>
      </c>
      <c r="F36" s="18" t="e">
        <f t="shared" si="2"/>
        <v>#VALUE!</v>
      </c>
      <c r="G36" s="18" t="e">
        <f t="shared" si="2"/>
        <v>#VALUE!</v>
      </c>
      <c r="H36" s="18" t="e">
        <f t="shared" si="2"/>
        <v>#VALUE!</v>
      </c>
      <c r="I36" s="18" t="e">
        <f t="shared" si="2"/>
        <v>#VALUE!</v>
      </c>
      <c r="J36" s="18" t="e">
        <f t="shared" si="2"/>
        <v>#VALUE!</v>
      </c>
      <c r="K36" s="18">
        <f t="shared" si="2"/>
        <v>0.38164821718220882</v>
      </c>
      <c r="L36" s="18">
        <f t="shared" si="2"/>
        <v>0.44853515625000001</v>
      </c>
      <c r="M36" s="18">
        <f t="shared" si="2"/>
        <v>0.68847946297056484</v>
      </c>
      <c r="N36" s="18">
        <f t="shared" si="2"/>
        <v>0.61304304393189335</v>
      </c>
      <c r="O36" s="18">
        <f t="shared" si="2"/>
        <v>0.56513245459619599</v>
      </c>
      <c r="P36" s="18">
        <f t="shared" si="2"/>
        <v>0.13840406455469217</v>
      </c>
      <c r="Q36" s="18">
        <f t="shared" si="2"/>
        <v>0.12094701904031122</v>
      </c>
      <c r="R36" s="18">
        <f t="shared" si="2"/>
        <v>0.16446156236819323</v>
      </c>
      <c r="S36" s="18">
        <f t="shared" si="2"/>
        <v>0.11146472886522692</v>
      </c>
    </row>
    <row r="37" spans="1:19" ht="16" x14ac:dyDescent="0.2">
      <c r="A37" s="2" t="s">
        <v>45</v>
      </c>
      <c r="B37" s="3" t="s">
        <v>24</v>
      </c>
      <c r="C37" s="3" t="s">
        <v>24</v>
      </c>
      <c r="D37" s="3">
        <v>113000</v>
      </c>
      <c r="E37" s="3">
        <v>78000</v>
      </c>
      <c r="F37" s="3">
        <v>291000</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2935112</v>
      </c>
      <c r="C39" s="3">
        <v>4852000</v>
      </c>
      <c r="D39" s="3">
        <v>5364000</v>
      </c>
      <c r="E39" s="3">
        <v>5553000</v>
      </c>
      <c r="F39" s="3">
        <v>7599000</v>
      </c>
      <c r="G39" s="3">
        <v>10258000</v>
      </c>
      <c r="H39" s="3">
        <v>10528000</v>
      </c>
      <c r="I39" s="3">
        <v>12559000</v>
      </c>
      <c r="J39" s="3">
        <v>16237000</v>
      </c>
      <c r="K39" s="3">
        <v>14942000</v>
      </c>
      <c r="L39" s="3">
        <v>18274000</v>
      </c>
      <c r="M39" s="3">
        <v>30476000</v>
      </c>
      <c r="N39" s="3">
        <v>30814000</v>
      </c>
      <c r="O39" s="4">
        <v>29519000</v>
      </c>
      <c r="P39" s="3">
        <v>7402000</v>
      </c>
      <c r="Q39" s="3">
        <v>7169000</v>
      </c>
      <c r="R39" s="3">
        <v>8629000</v>
      </c>
      <c r="S39" s="3">
        <v>6319000</v>
      </c>
    </row>
    <row r="40" spans="1:19" ht="16" x14ac:dyDescent="0.2">
      <c r="A40" s="2" t="s">
        <v>48</v>
      </c>
      <c r="B40" s="3">
        <v>10481000</v>
      </c>
      <c r="C40" s="3">
        <v>10615000</v>
      </c>
      <c r="D40" s="3">
        <v>10831000</v>
      </c>
      <c r="E40" s="3">
        <v>11019000</v>
      </c>
      <c r="F40" s="3">
        <v>11253000</v>
      </c>
      <c r="G40" s="3">
        <v>11412000</v>
      </c>
      <c r="H40" s="3">
        <v>11092000</v>
      </c>
      <c r="I40" s="3">
        <v>11141000</v>
      </c>
      <c r="J40" s="3">
        <v>11251000</v>
      </c>
      <c r="K40" s="3">
        <v>11364000</v>
      </c>
      <c r="L40" s="3">
        <v>11403000</v>
      </c>
      <c r="M40" s="3">
        <v>11506000</v>
      </c>
      <c r="N40" s="3">
        <v>11600000</v>
      </c>
      <c r="O40" s="4">
        <v>11610750</v>
      </c>
      <c r="P40" s="3">
        <v>11593000</v>
      </c>
      <c r="Q40" s="3">
        <v>11598000</v>
      </c>
      <c r="R40" s="3">
        <v>11609000</v>
      </c>
      <c r="S40" s="3">
        <v>11643000</v>
      </c>
    </row>
    <row r="41" spans="1:19" ht="16" x14ac:dyDescent="0.2">
      <c r="A41" s="2" t="s">
        <v>49</v>
      </c>
      <c r="B41" s="5">
        <v>0.28000000000000003</v>
      </c>
      <c r="C41" s="5">
        <v>0.46</v>
      </c>
      <c r="D41" s="5">
        <v>0.5</v>
      </c>
      <c r="E41" s="5">
        <v>0.5</v>
      </c>
      <c r="F41" s="5">
        <v>0.68</v>
      </c>
      <c r="G41" s="5">
        <v>0.9</v>
      </c>
      <c r="H41" s="5">
        <v>0.95</v>
      </c>
      <c r="I41" s="5">
        <v>1.1299999999999999</v>
      </c>
      <c r="J41" s="5">
        <v>1.44</v>
      </c>
      <c r="K41" s="5">
        <v>1.31</v>
      </c>
      <c r="L41" s="5">
        <v>1.6</v>
      </c>
      <c r="M41" s="5">
        <v>2.65</v>
      </c>
      <c r="N41" s="5">
        <v>2.66</v>
      </c>
      <c r="O41" s="6">
        <v>2.54</v>
      </c>
      <c r="P41" s="5">
        <v>0.64</v>
      </c>
      <c r="Q41" s="5">
        <v>0.62</v>
      </c>
      <c r="R41" s="5">
        <v>0.74</v>
      </c>
      <c r="S41" s="5">
        <v>0.54</v>
      </c>
    </row>
    <row r="42" spans="1:19" ht="16" x14ac:dyDescent="0.2">
      <c r="A42" s="2" t="s">
        <v>50</v>
      </c>
      <c r="B42" s="5">
        <v>0.28000000000000003</v>
      </c>
      <c r="C42" s="5">
        <v>0.46</v>
      </c>
      <c r="D42" s="5">
        <v>0.51</v>
      </c>
      <c r="E42" s="5">
        <v>0.51</v>
      </c>
      <c r="F42" s="5">
        <v>0.7</v>
      </c>
      <c r="G42" s="5">
        <v>0.9</v>
      </c>
      <c r="H42" s="5">
        <v>0.95</v>
      </c>
      <c r="I42" s="5">
        <v>1.1299999999999999</v>
      </c>
      <c r="J42" s="5">
        <v>1.44</v>
      </c>
      <c r="K42" s="5">
        <v>1.31</v>
      </c>
      <c r="L42" s="5">
        <v>1.6</v>
      </c>
      <c r="M42" s="5">
        <v>2.65</v>
      </c>
      <c r="N42" s="5">
        <v>2.66</v>
      </c>
      <c r="O42" s="6">
        <v>2.54</v>
      </c>
      <c r="P42" s="5">
        <v>0.64</v>
      </c>
      <c r="Q42" s="5">
        <v>0.62</v>
      </c>
      <c r="R42" s="5">
        <v>0.74</v>
      </c>
      <c r="S42" s="5">
        <v>0.54</v>
      </c>
    </row>
    <row r="43" spans="1:19" ht="16" x14ac:dyDescent="0.2">
      <c r="A43" s="2" t="s">
        <v>51</v>
      </c>
      <c r="B43" s="3">
        <v>10481000</v>
      </c>
      <c r="C43" s="3">
        <v>10615000</v>
      </c>
      <c r="D43" s="3">
        <v>10831000</v>
      </c>
      <c r="E43" s="3">
        <v>11019000</v>
      </c>
      <c r="F43" s="3">
        <v>11253000</v>
      </c>
      <c r="G43" s="3">
        <v>11412000</v>
      </c>
      <c r="H43" s="3">
        <v>11340000</v>
      </c>
      <c r="I43" s="3">
        <v>11566000</v>
      </c>
      <c r="J43" s="3">
        <v>11623000</v>
      </c>
      <c r="K43" s="3">
        <v>11703000</v>
      </c>
      <c r="L43" s="3">
        <v>11631000</v>
      </c>
      <c r="M43" s="3">
        <v>11811000</v>
      </c>
      <c r="N43" s="3">
        <v>11888000</v>
      </c>
      <c r="O43" s="4">
        <v>11875000</v>
      </c>
      <c r="P43" s="3">
        <v>11874000</v>
      </c>
      <c r="Q43" s="3">
        <v>11867000</v>
      </c>
      <c r="R43" s="3">
        <v>11892000</v>
      </c>
      <c r="S43" s="3">
        <v>11867000</v>
      </c>
    </row>
    <row r="44" spans="1:19" ht="16" x14ac:dyDescent="0.2">
      <c r="A44" s="2" t="s">
        <v>52</v>
      </c>
      <c r="B44" s="5">
        <v>0.28000000000000003</v>
      </c>
      <c r="C44" s="5">
        <v>0.46</v>
      </c>
      <c r="D44" s="5">
        <v>0.5</v>
      </c>
      <c r="E44" s="5">
        <v>0.5</v>
      </c>
      <c r="F44" s="5">
        <v>0.68</v>
      </c>
      <c r="G44" s="5">
        <v>0.9</v>
      </c>
      <c r="H44" s="5">
        <v>0.93</v>
      </c>
      <c r="I44" s="5">
        <v>1.0900000000000001</v>
      </c>
      <c r="J44" s="5">
        <v>1.4</v>
      </c>
      <c r="K44" s="5">
        <v>1.28</v>
      </c>
      <c r="L44" s="5">
        <v>1.57</v>
      </c>
      <c r="M44" s="5">
        <v>2.58</v>
      </c>
      <c r="N44" s="5">
        <v>2.59</v>
      </c>
      <c r="O44" s="6">
        <v>2.4900000000000002</v>
      </c>
      <c r="P44" s="5">
        <v>0.62</v>
      </c>
      <c r="Q44" s="5">
        <v>0.6</v>
      </c>
      <c r="R44" s="5">
        <v>0.73</v>
      </c>
      <c r="S44" s="5">
        <v>0.53</v>
      </c>
    </row>
    <row r="45" spans="1:19" ht="16" x14ac:dyDescent="0.2">
      <c r="A45" s="2" t="s">
        <v>53</v>
      </c>
      <c r="B45" s="5">
        <v>0.28000000000000003</v>
      </c>
      <c r="C45" s="5">
        <v>0.46</v>
      </c>
      <c r="D45" s="5">
        <v>0.51</v>
      </c>
      <c r="E45" s="5">
        <v>0.51</v>
      </c>
      <c r="F45" s="5">
        <v>0.7</v>
      </c>
      <c r="G45" s="5">
        <v>0.9</v>
      </c>
      <c r="H45" s="5">
        <v>0.93</v>
      </c>
      <c r="I45" s="5">
        <v>1.0900000000000001</v>
      </c>
      <c r="J45" s="5">
        <v>1.4</v>
      </c>
      <c r="K45" s="5">
        <v>1.28</v>
      </c>
      <c r="L45" s="5">
        <v>1.57</v>
      </c>
      <c r="M45" s="5">
        <v>2.58</v>
      </c>
      <c r="N45" s="5">
        <v>2.59</v>
      </c>
      <c r="O45" s="6">
        <v>2.4900000000000002</v>
      </c>
      <c r="P45" s="5">
        <v>0.62</v>
      </c>
      <c r="Q45" s="5">
        <v>0.6</v>
      </c>
      <c r="R45" s="5">
        <v>0.73</v>
      </c>
      <c r="S45" s="5">
        <v>0.53</v>
      </c>
    </row>
    <row r="46" spans="1:19" ht="16" x14ac:dyDescent="0.2">
      <c r="A46" s="2" t="s">
        <v>54</v>
      </c>
      <c r="B46" s="3">
        <v>6078768</v>
      </c>
      <c r="C46" s="3">
        <v>8464000</v>
      </c>
      <c r="D46" s="3">
        <v>10578000</v>
      </c>
      <c r="E46" s="3">
        <v>9940000</v>
      </c>
      <c r="F46" s="3">
        <v>14445000</v>
      </c>
      <c r="G46" s="3">
        <v>18558000</v>
      </c>
      <c r="H46" s="3">
        <v>18533000</v>
      </c>
      <c r="I46" s="3">
        <v>19665000</v>
      </c>
      <c r="J46" s="3">
        <v>20687000</v>
      </c>
      <c r="K46" s="3">
        <v>19374000</v>
      </c>
      <c r="L46" s="3">
        <v>23195000</v>
      </c>
      <c r="M46" s="3">
        <v>39812000</v>
      </c>
      <c r="N46" s="3">
        <v>38913000</v>
      </c>
      <c r="O46" s="4">
        <v>37402000</v>
      </c>
      <c r="P46" s="3">
        <v>9758000</v>
      </c>
      <c r="Q46" s="3">
        <v>9593000</v>
      </c>
      <c r="R46" s="3">
        <v>10478000</v>
      </c>
      <c r="S46" s="3">
        <v>7573000</v>
      </c>
    </row>
    <row r="47" spans="1:19" ht="16" x14ac:dyDescent="0.2">
      <c r="A47" s="2" t="s">
        <v>55</v>
      </c>
      <c r="B47" s="5">
        <v>21.73</v>
      </c>
      <c r="C47" s="5">
        <v>25.66</v>
      </c>
      <c r="D47" s="5">
        <v>31.88</v>
      </c>
      <c r="E47" s="5">
        <v>29.55</v>
      </c>
      <c r="F47" s="5">
        <v>36.270000000000003</v>
      </c>
      <c r="G47" s="5">
        <v>39.04</v>
      </c>
      <c r="H47" s="5">
        <v>38.159999999999997</v>
      </c>
      <c r="I47" s="5">
        <v>37.69</v>
      </c>
      <c r="J47" s="5">
        <v>36.4</v>
      </c>
      <c r="K47" s="5">
        <v>32.1</v>
      </c>
      <c r="L47" s="5">
        <v>33.9</v>
      </c>
      <c r="M47" s="5">
        <v>39.85</v>
      </c>
      <c r="N47" s="5">
        <v>37.01</v>
      </c>
      <c r="O47" s="6">
        <v>35.39</v>
      </c>
      <c r="P47" s="5">
        <v>40.11</v>
      </c>
      <c r="Q47" s="5">
        <v>39.32</v>
      </c>
      <c r="R47" s="5">
        <v>37.85</v>
      </c>
      <c r="S47" s="5">
        <v>35.39</v>
      </c>
    </row>
    <row r="48" spans="1:19" ht="16" x14ac:dyDescent="0.2">
      <c r="A48" s="2" t="s">
        <v>56</v>
      </c>
      <c r="B48" s="3">
        <v>5061988</v>
      </c>
      <c r="C48" s="3">
        <v>7106000</v>
      </c>
      <c r="D48" s="3">
        <v>8956000</v>
      </c>
      <c r="E48" s="3">
        <v>8298000</v>
      </c>
      <c r="F48" s="3">
        <v>12902000</v>
      </c>
      <c r="G48" s="3">
        <v>16866000</v>
      </c>
      <c r="H48" s="3">
        <v>16927000</v>
      </c>
      <c r="I48" s="3">
        <v>18304000</v>
      </c>
      <c r="J48" s="3">
        <v>19645000</v>
      </c>
      <c r="K48" s="3">
        <v>17882000</v>
      </c>
      <c r="L48" s="3">
        <v>21434000</v>
      </c>
      <c r="M48" s="3">
        <v>38016000</v>
      </c>
      <c r="N48" s="3">
        <v>36821000</v>
      </c>
      <c r="O48" s="4">
        <v>35100000</v>
      </c>
      <c r="P48" s="3">
        <v>9262000</v>
      </c>
      <c r="Q48" s="3">
        <v>9037000</v>
      </c>
      <c r="R48" s="3">
        <v>9878000</v>
      </c>
      <c r="S48" s="3">
        <v>6923000</v>
      </c>
    </row>
    <row r="49" spans="1:19" ht="16" x14ac:dyDescent="0.2">
      <c r="A49" s="2" t="s">
        <v>57</v>
      </c>
      <c r="B49" s="3">
        <v>5061988</v>
      </c>
      <c r="C49" s="3">
        <v>7106000</v>
      </c>
      <c r="D49" s="3">
        <v>8956000</v>
      </c>
      <c r="E49" s="3">
        <v>8298000</v>
      </c>
      <c r="F49" s="3">
        <v>12902000</v>
      </c>
      <c r="G49" s="3">
        <v>16866000</v>
      </c>
      <c r="H49" s="3">
        <v>16927000</v>
      </c>
      <c r="I49" s="3">
        <v>18304000</v>
      </c>
      <c r="J49" s="3">
        <v>19645000</v>
      </c>
      <c r="K49" s="3">
        <v>17882000</v>
      </c>
      <c r="L49" s="3">
        <v>21434000</v>
      </c>
      <c r="M49" s="3">
        <v>38016000</v>
      </c>
      <c r="N49" s="3">
        <v>36821000</v>
      </c>
      <c r="O49" s="4">
        <v>35100000</v>
      </c>
      <c r="P49" s="3">
        <v>9262000</v>
      </c>
      <c r="Q49" s="3">
        <v>9037000</v>
      </c>
      <c r="R49" s="3">
        <v>9878000</v>
      </c>
      <c r="S49" s="3">
        <v>6923000</v>
      </c>
    </row>
    <row r="50" spans="1:19" ht="16" x14ac:dyDescent="0.2">
      <c r="A50" s="2" t="s">
        <v>61</v>
      </c>
      <c r="B50" s="3" t="s">
        <v>24</v>
      </c>
      <c r="C50" s="3">
        <v>492388</v>
      </c>
      <c r="D50" s="3">
        <v>448432</v>
      </c>
      <c r="E50" s="3">
        <v>415309</v>
      </c>
      <c r="F50" s="3">
        <v>468553</v>
      </c>
      <c r="G50" s="3">
        <v>534045</v>
      </c>
      <c r="H50" s="3">
        <v>551875</v>
      </c>
      <c r="I50" s="3">
        <v>579733</v>
      </c>
      <c r="J50" s="3">
        <v>611075</v>
      </c>
      <c r="K50" s="3">
        <v>609596</v>
      </c>
      <c r="L50" s="3">
        <v>670775</v>
      </c>
      <c r="M50" s="3">
        <v>933748</v>
      </c>
      <c r="N50" s="3">
        <v>802664</v>
      </c>
      <c r="O50" s="4">
        <v>806656</v>
      </c>
      <c r="P50" s="3">
        <v>235598</v>
      </c>
      <c r="Q50" s="3">
        <v>234963</v>
      </c>
      <c r="R50" s="3">
        <v>208359</v>
      </c>
      <c r="S50" s="3">
        <v>213947</v>
      </c>
    </row>
    <row r="51" spans="1:19" ht="16" x14ac:dyDescent="0.2">
      <c r="A51" s="2" t="s">
        <v>62</v>
      </c>
      <c r="B51" s="5">
        <v>0.15</v>
      </c>
      <c r="C51" s="5">
        <v>0.16</v>
      </c>
      <c r="D51" s="5">
        <v>0.48</v>
      </c>
      <c r="E51" s="5">
        <v>0.24</v>
      </c>
      <c r="F51" s="5">
        <v>0.81</v>
      </c>
      <c r="G51" s="5">
        <v>1.06</v>
      </c>
      <c r="H51" s="5">
        <v>1.18</v>
      </c>
      <c r="I51" s="5">
        <v>1.19</v>
      </c>
      <c r="J51" s="5">
        <v>1.26</v>
      </c>
      <c r="K51" s="5">
        <v>1.28</v>
      </c>
      <c r="L51" s="5">
        <v>1.28</v>
      </c>
      <c r="M51" s="5">
        <v>2.21</v>
      </c>
      <c r="N51" s="5">
        <v>2.27</v>
      </c>
      <c r="O51" s="6">
        <v>2.27</v>
      </c>
      <c r="P51" s="5">
        <v>0.18</v>
      </c>
      <c r="Q51" s="5">
        <v>0.18</v>
      </c>
      <c r="R51" s="5">
        <v>1.72</v>
      </c>
      <c r="S51" s="5">
        <v>0.18</v>
      </c>
    </row>
    <row r="52" spans="1:19" ht="16" x14ac:dyDescent="0.2">
      <c r="A52" s="2" t="s">
        <v>63</v>
      </c>
      <c r="B52" s="3">
        <v>1016780</v>
      </c>
      <c r="C52" s="3">
        <v>1358000</v>
      </c>
      <c r="D52" s="3">
        <v>1622000</v>
      </c>
      <c r="E52" s="3">
        <v>1642000</v>
      </c>
      <c r="F52" s="3">
        <v>1543000</v>
      </c>
      <c r="G52" s="3">
        <v>1692000</v>
      </c>
      <c r="H52" s="3">
        <v>1606000</v>
      </c>
      <c r="I52" s="3">
        <v>1361000</v>
      </c>
      <c r="J52" s="3">
        <v>1042000</v>
      </c>
      <c r="K52" s="3">
        <v>1492000</v>
      </c>
      <c r="L52" s="3">
        <v>1761000</v>
      </c>
      <c r="M52" s="3">
        <v>1796000</v>
      </c>
      <c r="N52" s="3">
        <v>2092000</v>
      </c>
      <c r="O52" s="4">
        <v>2302000</v>
      </c>
      <c r="P52" s="3">
        <v>496000</v>
      </c>
      <c r="Q52" s="3">
        <v>556000</v>
      </c>
      <c r="R52" s="3">
        <v>600000</v>
      </c>
      <c r="S52" s="3">
        <v>650000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6703000</v>
      </c>
      <c r="C55" s="3">
        <v>19678000</v>
      </c>
      <c r="D55" s="3">
        <v>21384000</v>
      </c>
      <c r="E55" s="3">
        <v>24979000</v>
      </c>
      <c r="F55" s="3">
        <v>28041000</v>
      </c>
      <c r="G55" s="3">
        <v>31736000</v>
      </c>
      <c r="H55" s="3">
        <v>33085000</v>
      </c>
      <c r="I55" s="3">
        <v>32449000</v>
      </c>
      <c r="J55" s="3">
        <v>36753000</v>
      </c>
      <c r="K55" s="3">
        <v>35030000</v>
      </c>
      <c r="L55" s="3">
        <v>42105000</v>
      </c>
      <c r="M55" s="3">
        <v>59951000</v>
      </c>
      <c r="N55" s="3">
        <v>48381000</v>
      </c>
      <c r="O55" s="4">
        <v>41250000</v>
      </c>
      <c r="P55" s="3">
        <v>48586000</v>
      </c>
      <c r="Q55" s="3">
        <v>54531000</v>
      </c>
      <c r="R55" s="3">
        <v>48381000</v>
      </c>
      <c r="S55" s="3">
        <v>41250000</v>
      </c>
    </row>
    <row r="56" spans="1:19" ht="16" x14ac:dyDescent="0.2">
      <c r="A56" s="2" t="s">
        <v>65</v>
      </c>
      <c r="B56" s="3">
        <v>6702677</v>
      </c>
      <c r="C56" s="3">
        <v>11467000</v>
      </c>
      <c r="D56" s="3">
        <v>13611000</v>
      </c>
      <c r="E56" s="3">
        <v>18936000</v>
      </c>
      <c r="F56" s="3">
        <v>20272000</v>
      </c>
      <c r="G56" s="3">
        <v>23925000</v>
      </c>
      <c r="H56" s="3">
        <v>25034000</v>
      </c>
      <c r="I56" s="3">
        <v>23683000</v>
      </c>
      <c r="J56" s="3">
        <v>28813000</v>
      </c>
      <c r="K56" s="3">
        <v>28217000</v>
      </c>
      <c r="L56" s="3">
        <v>33733000</v>
      </c>
      <c r="M56" s="3">
        <v>50394000</v>
      </c>
      <c r="N56" s="3">
        <v>37368000</v>
      </c>
      <c r="O56" s="4">
        <v>29884000</v>
      </c>
      <c r="P56" s="3">
        <v>37649000</v>
      </c>
      <c r="Q56" s="3">
        <v>44745000</v>
      </c>
      <c r="R56" s="3">
        <v>37368000</v>
      </c>
      <c r="S56" s="3">
        <v>29884000</v>
      </c>
    </row>
    <row r="57" spans="1:19" ht="16" x14ac:dyDescent="0.2">
      <c r="A57" s="2" t="s">
        <v>66</v>
      </c>
      <c r="B57" s="3">
        <v>6702677</v>
      </c>
      <c r="C57" s="3">
        <v>10170000</v>
      </c>
      <c r="D57" s="3">
        <v>13611000</v>
      </c>
      <c r="E57" s="3">
        <v>18936000</v>
      </c>
      <c r="F57" s="3">
        <v>20272000</v>
      </c>
      <c r="G57" s="3">
        <v>23925000</v>
      </c>
      <c r="H57" s="3">
        <v>25034000</v>
      </c>
      <c r="I57" s="3">
        <v>23683000</v>
      </c>
      <c r="J57" s="3">
        <v>28813000</v>
      </c>
      <c r="K57" s="3">
        <v>28217000</v>
      </c>
      <c r="L57" s="3">
        <v>33733000</v>
      </c>
      <c r="M57" s="3">
        <v>50394000</v>
      </c>
      <c r="N57" s="3">
        <v>37368000</v>
      </c>
      <c r="O57" s="4">
        <v>29884000</v>
      </c>
      <c r="P57" s="3">
        <v>37649000</v>
      </c>
      <c r="Q57" s="3">
        <v>44745000</v>
      </c>
      <c r="R57" s="3">
        <v>37368000</v>
      </c>
      <c r="S57" s="3">
        <v>29884000</v>
      </c>
    </row>
    <row r="58" spans="1:19" ht="16" x14ac:dyDescent="0.2">
      <c r="A58" s="2" t="s">
        <v>67</v>
      </c>
      <c r="B58" s="3" t="s">
        <v>24</v>
      </c>
      <c r="C58" s="3">
        <v>1297000</v>
      </c>
      <c r="D58" s="3" t="s">
        <v>24</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5329284</v>
      </c>
      <c r="C59" s="3">
        <v>7194000</v>
      </c>
      <c r="D59" s="3">
        <v>6481000</v>
      </c>
      <c r="E59" s="3">
        <v>4980000</v>
      </c>
      <c r="F59" s="3">
        <v>5674000</v>
      </c>
      <c r="G59" s="3">
        <v>6082000</v>
      </c>
      <c r="H59" s="3">
        <v>6262000</v>
      </c>
      <c r="I59" s="3">
        <v>6450000</v>
      </c>
      <c r="J59" s="3">
        <v>4942000</v>
      </c>
      <c r="K59" s="3">
        <v>5157000</v>
      </c>
      <c r="L59" s="3">
        <v>6609000</v>
      </c>
      <c r="M59" s="3">
        <v>7404000</v>
      </c>
      <c r="N59" s="3">
        <v>9485000</v>
      </c>
      <c r="O59" s="4">
        <v>9284000</v>
      </c>
      <c r="P59" s="3">
        <v>7559000</v>
      </c>
      <c r="Q59" s="3">
        <v>8237000</v>
      </c>
      <c r="R59" s="3">
        <v>9485000</v>
      </c>
      <c r="S59" s="3">
        <v>9284000</v>
      </c>
    </row>
    <row r="60" spans="1:19" ht="16" x14ac:dyDescent="0.2">
      <c r="A60" s="2" t="s">
        <v>69</v>
      </c>
      <c r="B60" s="3">
        <v>5329284</v>
      </c>
      <c r="C60" s="3">
        <v>7194000</v>
      </c>
      <c r="D60" s="3">
        <v>6481000</v>
      </c>
      <c r="E60" s="3">
        <v>4980000</v>
      </c>
      <c r="F60" s="3">
        <v>5674000</v>
      </c>
      <c r="G60" s="3">
        <v>6082000</v>
      </c>
      <c r="H60" s="3">
        <v>6262000</v>
      </c>
      <c r="I60" s="3">
        <v>6450000</v>
      </c>
      <c r="J60" s="3">
        <v>4942000</v>
      </c>
      <c r="K60" s="3">
        <v>5157000</v>
      </c>
      <c r="L60" s="3">
        <v>6609000</v>
      </c>
      <c r="M60" s="3">
        <v>7404000</v>
      </c>
      <c r="N60" s="3">
        <v>9485000</v>
      </c>
      <c r="O60" s="4">
        <v>9284000</v>
      </c>
      <c r="P60" s="3">
        <v>7559000</v>
      </c>
      <c r="Q60" s="3">
        <v>8237000</v>
      </c>
      <c r="R60" s="3">
        <v>9485000</v>
      </c>
      <c r="S60" s="3">
        <v>9284000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-5328961</v>
      </c>
      <c r="C70" s="3">
        <v>1017000</v>
      </c>
      <c r="D70" s="3">
        <v>1292000</v>
      </c>
      <c r="E70" s="3">
        <v>1063000</v>
      </c>
      <c r="F70" s="3">
        <v>2095000</v>
      </c>
      <c r="G70" s="3">
        <v>1729000</v>
      </c>
      <c r="H70" s="3">
        <v>1789000</v>
      </c>
      <c r="I70" s="3">
        <v>2316000</v>
      </c>
      <c r="J70" s="3">
        <v>2998000</v>
      </c>
      <c r="K70" s="3">
        <v>1656000</v>
      </c>
      <c r="L70" s="3">
        <v>1763000</v>
      </c>
      <c r="M70" s="3">
        <v>2153000</v>
      </c>
      <c r="N70" s="3">
        <v>1528000</v>
      </c>
      <c r="O70" s="4">
        <v>2082000</v>
      </c>
      <c r="P70" s="3">
        <v>3378000</v>
      </c>
      <c r="Q70" s="3">
        <v>1549000</v>
      </c>
      <c r="R70" s="3">
        <v>1528000</v>
      </c>
      <c r="S70" s="3">
        <v>2082000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11107000</v>
      </c>
      <c r="C76" s="3">
        <v>5643000</v>
      </c>
      <c r="D76" s="3">
        <v>5566000</v>
      </c>
      <c r="E76" s="3">
        <v>4999000</v>
      </c>
      <c r="F76" s="3">
        <v>5135000</v>
      </c>
      <c r="G76" s="3">
        <v>4478000</v>
      </c>
      <c r="H76" s="3">
        <v>3558000</v>
      </c>
      <c r="I76" s="3">
        <v>3868000</v>
      </c>
      <c r="J76" s="3">
        <v>4896000</v>
      </c>
      <c r="K76" s="3">
        <v>25325000</v>
      </c>
      <c r="L76" s="3">
        <v>22705000</v>
      </c>
      <c r="M76" s="3">
        <v>22304000</v>
      </c>
      <c r="N76" s="3">
        <v>41237000</v>
      </c>
      <c r="O76" s="4">
        <v>41992000</v>
      </c>
      <c r="P76" s="3">
        <v>33932000</v>
      </c>
      <c r="Q76" s="3">
        <v>35444000</v>
      </c>
      <c r="R76" s="3">
        <v>41237000</v>
      </c>
      <c r="S76" s="3">
        <v>41992000</v>
      </c>
    </row>
    <row r="77" spans="1:19" ht="16" x14ac:dyDescent="0.2">
      <c r="A77" s="2" t="s">
        <v>86</v>
      </c>
      <c r="B77" s="3">
        <v>4036309</v>
      </c>
      <c r="C77" s="3">
        <v>5143000</v>
      </c>
      <c r="D77" s="3">
        <v>5066000</v>
      </c>
      <c r="E77" s="3">
        <v>4184000</v>
      </c>
      <c r="F77" s="3">
        <v>4357000</v>
      </c>
      <c r="G77" s="3">
        <v>3507000</v>
      </c>
      <c r="H77" s="3">
        <v>2279000</v>
      </c>
      <c r="I77" s="3">
        <v>2018000</v>
      </c>
      <c r="J77" s="3">
        <v>1980000</v>
      </c>
      <c r="K77" s="3">
        <v>22436000</v>
      </c>
      <c r="L77" s="3">
        <v>20211000</v>
      </c>
      <c r="M77" s="3">
        <v>19938000</v>
      </c>
      <c r="N77" s="3">
        <v>22272000</v>
      </c>
      <c r="O77" s="4">
        <v>22030000</v>
      </c>
      <c r="P77" s="3">
        <v>19345000</v>
      </c>
      <c r="Q77" s="3">
        <v>18670000</v>
      </c>
      <c r="R77" s="3">
        <v>22272000</v>
      </c>
      <c r="S77" s="3">
        <v>22030000</v>
      </c>
    </row>
    <row r="78" spans="1:19" ht="16" x14ac:dyDescent="0.2">
      <c r="A78" s="2" t="s">
        <v>87</v>
      </c>
      <c r="B78" s="3">
        <v>6114640</v>
      </c>
      <c r="C78" s="3">
        <v>7677000</v>
      </c>
      <c r="D78" s="3">
        <v>8727000</v>
      </c>
      <c r="E78" s="3">
        <v>9463000</v>
      </c>
      <c r="F78" s="3">
        <v>11159000</v>
      </c>
      <c r="G78" s="3">
        <v>11962000</v>
      </c>
      <c r="H78" s="3">
        <v>12106000</v>
      </c>
      <c r="I78" s="3">
        <v>12258000</v>
      </c>
      <c r="J78" s="3">
        <v>13049000</v>
      </c>
      <c r="K78" s="3">
        <v>27321000</v>
      </c>
      <c r="L78" s="3">
        <v>26135000</v>
      </c>
      <c r="M78" s="3">
        <v>27575000</v>
      </c>
      <c r="N78" s="3">
        <v>31139000</v>
      </c>
      <c r="O78" s="4">
        <v>31402000</v>
      </c>
      <c r="P78" s="3">
        <v>27821000</v>
      </c>
      <c r="Q78" s="3">
        <v>27557000</v>
      </c>
      <c r="R78" s="3">
        <v>31139000</v>
      </c>
      <c r="S78" s="3">
        <v>31402000</v>
      </c>
    </row>
    <row r="79" spans="1:19" ht="16" x14ac:dyDescent="0.2">
      <c r="A79" s="2" t="s">
        <v>88</v>
      </c>
      <c r="B79" s="3">
        <v>2078331</v>
      </c>
      <c r="C79" s="3">
        <v>2534000</v>
      </c>
      <c r="D79" s="3">
        <v>3661000</v>
      </c>
      <c r="E79" s="3">
        <v>5279000</v>
      </c>
      <c r="F79" s="3">
        <v>6802000</v>
      </c>
      <c r="G79" s="3">
        <v>8455000</v>
      </c>
      <c r="H79" s="3">
        <v>9827000</v>
      </c>
      <c r="I79" s="3">
        <v>10240000</v>
      </c>
      <c r="J79" s="3">
        <v>11069000</v>
      </c>
      <c r="K79" s="3">
        <v>4885000</v>
      </c>
      <c r="L79" s="3">
        <v>5924000</v>
      </c>
      <c r="M79" s="3">
        <v>7637000</v>
      </c>
      <c r="N79" s="3">
        <v>8867000</v>
      </c>
      <c r="O79" s="4">
        <v>9372000</v>
      </c>
      <c r="P79" s="3">
        <v>8476000</v>
      </c>
      <c r="Q79" s="3">
        <v>8887000</v>
      </c>
      <c r="R79" s="3">
        <v>8867000</v>
      </c>
      <c r="S79" s="3">
        <v>9372000</v>
      </c>
    </row>
    <row r="80" spans="1:19" ht="16" x14ac:dyDescent="0.2">
      <c r="A80" s="2" t="s">
        <v>89</v>
      </c>
      <c r="B80" s="3" t="s">
        <v>24</v>
      </c>
      <c r="C80" s="3" t="s">
        <v>24</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t="s">
        <v>24</v>
      </c>
      <c r="C81" s="3" t="s">
        <v>24</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7070691</v>
      </c>
      <c r="C83" s="3">
        <v>500000</v>
      </c>
      <c r="D83" s="3">
        <v>500000</v>
      </c>
      <c r="E83" s="3">
        <v>815000</v>
      </c>
      <c r="F83" s="3">
        <v>778000</v>
      </c>
      <c r="G83" s="3">
        <v>971000</v>
      </c>
      <c r="H83" s="3">
        <v>1279000</v>
      </c>
      <c r="I83" s="3">
        <v>1850000</v>
      </c>
      <c r="J83" s="3">
        <v>2916000</v>
      </c>
      <c r="K83" s="3">
        <v>2889000</v>
      </c>
      <c r="L83" s="3">
        <v>2494000</v>
      </c>
      <c r="M83" s="3">
        <v>2366000</v>
      </c>
      <c r="N83" s="3">
        <v>18965000</v>
      </c>
      <c r="O83" s="4">
        <v>19962000</v>
      </c>
      <c r="P83" s="3">
        <v>14587000</v>
      </c>
      <c r="Q83" s="3">
        <v>16774000</v>
      </c>
      <c r="R83" s="3">
        <v>18965000</v>
      </c>
      <c r="S83" s="3">
        <v>19962000</v>
      </c>
    </row>
    <row r="84" spans="1:19" ht="16" x14ac:dyDescent="0.2">
      <c r="A84" s="2" t="s">
        <v>93</v>
      </c>
      <c r="B84" s="3">
        <v>338615</v>
      </c>
      <c r="C84" s="3">
        <v>291000</v>
      </c>
      <c r="D84" s="3">
        <v>291000</v>
      </c>
      <c r="E84" s="3">
        <v>291000</v>
      </c>
      <c r="F84" s="3">
        <v>291000</v>
      </c>
      <c r="G84" s="3">
        <v>291000</v>
      </c>
      <c r="H84" s="3">
        <v>291000</v>
      </c>
      <c r="I84" s="3">
        <v>362000</v>
      </c>
      <c r="J84" s="3">
        <v>312000</v>
      </c>
      <c r="K84" s="3">
        <v>291000</v>
      </c>
      <c r="L84" s="3">
        <v>291000</v>
      </c>
      <c r="M84" s="3">
        <v>291000</v>
      </c>
      <c r="N84" s="3">
        <v>11977000</v>
      </c>
      <c r="O84" s="4">
        <v>11831000</v>
      </c>
      <c r="P84" s="3">
        <v>12267000</v>
      </c>
      <c r="Q84" s="3">
        <v>12122000</v>
      </c>
      <c r="R84" s="3">
        <v>11977000</v>
      </c>
      <c r="S84" s="3">
        <v>11831000</v>
      </c>
    </row>
    <row r="85" spans="1:19" ht="16" x14ac:dyDescent="0.2">
      <c r="A85" s="2" t="s">
        <v>94</v>
      </c>
      <c r="B85" s="3">
        <v>250658</v>
      </c>
      <c r="C85" s="3">
        <v>251000</v>
      </c>
      <c r="D85" s="3">
        <v>251000</v>
      </c>
      <c r="E85" s="3">
        <v>251000</v>
      </c>
      <c r="F85" s="3">
        <v>251000</v>
      </c>
      <c r="G85" s="3">
        <v>251000</v>
      </c>
      <c r="H85" s="3">
        <v>251000</v>
      </c>
      <c r="I85" s="3">
        <v>251000</v>
      </c>
      <c r="J85" s="3">
        <v>251000</v>
      </c>
      <c r="K85" s="3">
        <v>251000</v>
      </c>
      <c r="L85" s="3">
        <v>251000</v>
      </c>
      <c r="M85" s="3">
        <v>251000</v>
      </c>
      <c r="N85" s="3">
        <v>3984000</v>
      </c>
      <c r="O85" s="4">
        <v>3984000</v>
      </c>
      <c r="P85" s="3">
        <v>3984000</v>
      </c>
      <c r="Q85" s="3">
        <v>3984000</v>
      </c>
      <c r="R85" s="3">
        <v>3984000</v>
      </c>
      <c r="S85" s="3">
        <v>3984000</v>
      </c>
    </row>
    <row r="86" spans="1:19" ht="16" x14ac:dyDescent="0.2">
      <c r="A86" s="2" t="s">
        <v>95</v>
      </c>
      <c r="B86" s="3">
        <v>87957</v>
      </c>
      <c r="C86" s="3">
        <v>40000</v>
      </c>
      <c r="D86" s="3">
        <v>40000</v>
      </c>
      <c r="E86" s="3">
        <v>40000</v>
      </c>
      <c r="F86" s="3">
        <v>40000</v>
      </c>
      <c r="G86" s="3">
        <v>40000</v>
      </c>
      <c r="H86" s="3">
        <v>40000</v>
      </c>
      <c r="I86" s="3">
        <v>111000</v>
      </c>
      <c r="J86" s="3">
        <v>61000</v>
      </c>
      <c r="K86" s="3">
        <v>40000</v>
      </c>
      <c r="L86" s="3">
        <v>40000</v>
      </c>
      <c r="M86" s="3">
        <v>40000</v>
      </c>
      <c r="N86" s="3">
        <v>7993000</v>
      </c>
      <c r="O86" s="4">
        <v>7847000</v>
      </c>
      <c r="P86" s="3">
        <v>8283000</v>
      </c>
      <c r="Q86" s="3">
        <v>8138000</v>
      </c>
      <c r="R86" s="3">
        <v>7993000</v>
      </c>
      <c r="S86" s="3">
        <v>7847000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6732076</v>
      </c>
      <c r="C89" s="3">
        <v>209000</v>
      </c>
      <c r="D89" s="3">
        <v>209000</v>
      </c>
      <c r="E89" s="3">
        <v>524000</v>
      </c>
      <c r="F89" s="3">
        <v>487000</v>
      </c>
      <c r="G89" s="3">
        <v>680000</v>
      </c>
      <c r="H89" s="3">
        <v>988000</v>
      </c>
      <c r="I89" s="3">
        <v>1488000</v>
      </c>
      <c r="J89" s="3">
        <v>2604000</v>
      </c>
      <c r="K89" s="3">
        <v>2598000</v>
      </c>
      <c r="L89" s="3">
        <v>2203000</v>
      </c>
      <c r="M89" s="3">
        <v>2075000</v>
      </c>
      <c r="N89" s="3">
        <v>6988000</v>
      </c>
      <c r="O89" s="4">
        <v>8131000</v>
      </c>
      <c r="P89" s="3">
        <v>2320000</v>
      </c>
      <c r="Q89" s="3">
        <v>4652000</v>
      </c>
      <c r="R89" s="3">
        <v>6988000</v>
      </c>
      <c r="S89" s="3">
        <v>8131000</v>
      </c>
    </row>
    <row r="90" spans="1:19" ht="16" x14ac:dyDescent="0.2">
      <c r="A90" s="2" t="s">
        <v>99</v>
      </c>
      <c r="B90" s="3">
        <v>17810286</v>
      </c>
      <c r="C90" s="3">
        <v>25321000</v>
      </c>
      <c r="D90" s="3">
        <v>26950000</v>
      </c>
      <c r="E90" s="3">
        <v>29978000</v>
      </c>
      <c r="F90" s="3">
        <v>33176000</v>
      </c>
      <c r="G90" s="3">
        <v>36214000</v>
      </c>
      <c r="H90" s="3">
        <v>36643000</v>
      </c>
      <c r="I90" s="3">
        <v>36317000</v>
      </c>
      <c r="J90" s="3">
        <v>41649000</v>
      </c>
      <c r="K90" s="3">
        <v>60355000</v>
      </c>
      <c r="L90" s="3">
        <v>64810000</v>
      </c>
      <c r="M90" s="3">
        <v>82255000</v>
      </c>
      <c r="N90" s="3">
        <v>89618000</v>
      </c>
      <c r="O90" s="4">
        <v>83242000</v>
      </c>
      <c r="P90" s="3">
        <v>82518000</v>
      </c>
      <c r="Q90" s="3">
        <v>89975000</v>
      </c>
      <c r="R90" s="3">
        <v>89618000</v>
      </c>
      <c r="S90" s="3">
        <v>83242000</v>
      </c>
    </row>
    <row r="91" spans="1:19" ht="16" x14ac:dyDescent="0.2">
      <c r="A91" s="2" t="s">
        <v>100</v>
      </c>
      <c r="B91" s="3">
        <v>3143100</v>
      </c>
      <c r="C91" s="3">
        <v>3854000</v>
      </c>
      <c r="D91" s="3">
        <v>3325000</v>
      </c>
      <c r="E91" s="3">
        <v>3617000</v>
      </c>
      <c r="F91" s="3">
        <v>4144000</v>
      </c>
      <c r="G91" s="3">
        <v>4743000</v>
      </c>
      <c r="H91" s="3">
        <v>5143000</v>
      </c>
      <c r="I91" s="3">
        <v>5562000</v>
      </c>
      <c r="J91" s="3">
        <v>6711000</v>
      </c>
      <c r="K91" s="3">
        <v>7635000</v>
      </c>
      <c r="L91" s="3">
        <v>9404000</v>
      </c>
      <c r="M91" s="3">
        <v>11421000</v>
      </c>
      <c r="N91" s="3">
        <v>13458000</v>
      </c>
      <c r="O91" s="4">
        <v>8152000</v>
      </c>
      <c r="P91" s="3">
        <v>8073000</v>
      </c>
      <c r="Q91" s="3">
        <v>12769000</v>
      </c>
      <c r="R91" s="3">
        <v>13458000</v>
      </c>
      <c r="S91" s="3">
        <v>8152000</v>
      </c>
    </row>
    <row r="92" spans="1:19" ht="16" x14ac:dyDescent="0.2">
      <c r="A92" s="2" t="s">
        <v>101</v>
      </c>
      <c r="B92" s="3">
        <v>386785</v>
      </c>
      <c r="C92" s="3">
        <v>629000</v>
      </c>
      <c r="D92" s="3">
        <v>721000</v>
      </c>
      <c r="E92" s="3">
        <v>509000</v>
      </c>
      <c r="F92" s="3">
        <v>562000</v>
      </c>
      <c r="G92" s="3">
        <v>616000</v>
      </c>
      <c r="H92" s="3">
        <v>508000</v>
      </c>
      <c r="I92" s="3">
        <v>786000</v>
      </c>
      <c r="J92" s="3">
        <v>693000</v>
      </c>
      <c r="K92" s="3">
        <v>321000</v>
      </c>
      <c r="L92" s="3">
        <v>1251000</v>
      </c>
      <c r="M92" s="3">
        <v>962000</v>
      </c>
      <c r="N92" s="3">
        <v>1684000</v>
      </c>
      <c r="O92" s="4">
        <v>1097000</v>
      </c>
      <c r="P92" s="3">
        <v>1068000</v>
      </c>
      <c r="Q92" s="3">
        <v>1031000</v>
      </c>
      <c r="R92" s="3">
        <v>1684000</v>
      </c>
      <c r="S92" s="3">
        <v>1097000</v>
      </c>
    </row>
    <row r="93" spans="1:19" ht="16" x14ac:dyDescent="0.2">
      <c r="A93" s="2" t="s">
        <v>102</v>
      </c>
      <c r="B93" s="3">
        <v>371815</v>
      </c>
      <c r="C93" s="3" t="s">
        <v>24</v>
      </c>
      <c r="D93" s="3" t="s">
        <v>24</v>
      </c>
      <c r="E93" s="3" t="s">
        <v>24</v>
      </c>
      <c r="F93" s="3" t="s">
        <v>24</v>
      </c>
      <c r="G93" s="3">
        <v>92000</v>
      </c>
      <c r="H93" s="3">
        <v>103000</v>
      </c>
      <c r="I93" s="3" t="s">
        <v>24</v>
      </c>
      <c r="J93" s="3" t="s">
        <v>24</v>
      </c>
      <c r="K93" s="3">
        <v>99000</v>
      </c>
      <c r="L93" s="3">
        <v>16000</v>
      </c>
      <c r="M93" s="3">
        <v>13000</v>
      </c>
      <c r="N93" s="3">
        <v>567000</v>
      </c>
      <c r="O93" s="4">
        <v>1719000</v>
      </c>
      <c r="P93" s="3">
        <v>7000</v>
      </c>
      <c r="Q93" s="3">
        <v>2512000</v>
      </c>
      <c r="R93" s="3">
        <v>567000</v>
      </c>
      <c r="S93" s="3">
        <v>1719000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2384500</v>
      </c>
      <c r="C95" s="3">
        <v>3225000</v>
      </c>
      <c r="D95" s="3">
        <v>2604000</v>
      </c>
      <c r="E95" s="3">
        <v>3108000</v>
      </c>
      <c r="F95" s="3">
        <v>3582000</v>
      </c>
      <c r="G95" s="3">
        <v>4035000</v>
      </c>
      <c r="H95" s="3">
        <v>4532000</v>
      </c>
      <c r="I95" s="3">
        <v>4776000</v>
      </c>
      <c r="J95" s="3">
        <v>6018000</v>
      </c>
      <c r="K95" s="3">
        <v>7215000</v>
      </c>
      <c r="L95" s="3">
        <v>8137000</v>
      </c>
      <c r="M95" s="3">
        <v>10446000</v>
      </c>
      <c r="N95" s="3">
        <v>11207000</v>
      </c>
      <c r="O95" s="4">
        <v>5336000</v>
      </c>
      <c r="P95" s="3">
        <v>6998000</v>
      </c>
      <c r="Q95" s="3">
        <v>9226000</v>
      </c>
      <c r="R95" s="3">
        <v>11207000</v>
      </c>
      <c r="S95" s="3">
        <v>5336000</v>
      </c>
    </row>
    <row r="96" spans="1:19" ht="16" x14ac:dyDescent="0.2">
      <c r="A96" s="2" t="s">
        <v>105</v>
      </c>
      <c r="B96" s="3">
        <v>92128</v>
      </c>
      <c r="C96" s="3" t="s">
        <v>24</v>
      </c>
      <c r="D96" s="3" t="s">
        <v>24</v>
      </c>
      <c r="E96" s="3" t="s">
        <v>24</v>
      </c>
      <c r="F96" s="3" t="s">
        <v>24</v>
      </c>
      <c r="G96" s="3" t="s">
        <v>24</v>
      </c>
      <c r="H96" s="3" t="s">
        <v>24</v>
      </c>
      <c r="I96" s="3" t="s">
        <v>24</v>
      </c>
      <c r="J96" s="3" t="s">
        <v>24</v>
      </c>
      <c r="K96" s="3">
        <v>1939000</v>
      </c>
      <c r="L96" s="3">
        <v>1828000</v>
      </c>
      <c r="M96" s="3">
        <v>1911000</v>
      </c>
      <c r="N96" s="3">
        <v>1934000</v>
      </c>
      <c r="O96" s="4">
        <v>1935000</v>
      </c>
      <c r="P96" s="3">
        <v>1931000</v>
      </c>
      <c r="Q96" s="3">
        <v>1933000</v>
      </c>
      <c r="R96" s="3">
        <v>1934000</v>
      </c>
      <c r="S96" s="3">
        <v>1935000</v>
      </c>
    </row>
    <row r="97" spans="1:19" ht="16" x14ac:dyDescent="0.2">
      <c r="A97" s="2" t="s">
        <v>106</v>
      </c>
      <c r="B97" s="3">
        <v>92128</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t="s">
        <v>24</v>
      </c>
      <c r="C98" s="3" t="s">
        <v>24</v>
      </c>
      <c r="D98" s="3" t="s">
        <v>24</v>
      </c>
      <c r="E98" s="3" t="s">
        <v>24</v>
      </c>
      <c r="F98" s="3" t="s">
        <v>24</v>
      </c>
      <c r="G98" s="3" t="s">
        <v>24</v>
      </c>
      <c r="H98" s="3" t="s">
        <v>24</v>
      </c>
      <c r="I98" s="3" t="s">
        <v>24</v>
      </c>
      <c r="J98" s="3" t="s">
        <v>24</v>
      </c>
      <c r="K98" s="3">
        <v>1939000</v>
      </c>
      <c r="L98" s="3">
        <v>1828000</v>
      </c>
      <c r="M98" s="3">
        <v>1911000</v>
      </c>
      <c r="N98" s="3">
        <v>1934000</v>
      </c>
      <c r="O98" s="4">
        <v>1935000</v>
      </c>
      <c r="P98" s="3">
        <v>1931000</v>
      </c>
      <c r="Q98" s="3">
        <v>1933000</v>
      </c>
      <c r="R98" s="3">
        <v>1934000</v>
      </c>
      <c r="S98" s="3">
        <v>1935000</v>
      </c>
    </row>
    <row r="99" spans="1:19" ht="16" x14ac:dyDescent="0.2">
      <c r="A99" s="2" t="s">
        <v>108</v>
      </c>
      <c r="B99" s="3">
        <v>-3235228</v>
      </c>
      <c r="C99" s="3">
        <v>6997000</v>
      </c>
      <c r="D99" s="3">
        <v>7934000</v>
      </c>
      <c r="E99" s="3">
        <v>6683000</v>
      </c>
      <c r="F99" s="3">
        <v>9827000</v>
      </c>
      <c r="G99" s="3">
        <v>13057000</v>
      </c>
      <c r="H99" s="3">
        <v>14893000</v>
      </c>
      <c r="I99" s="3">
        <v>15613000</v>
      </c>
      <c r="J99" s="3">
        <v>16070000</v>
      </c>
      <c r="K99" s="3">
        <v>15815000</v>
      </c>
      <c r="L99" s="3">
        <v>18765000</v>
      </c>
      <c r="M99" s="3">
        <v>28432000</v>
      </c>
      <c r="N99" s="3">
        <v>30456000</v>
      </c>
      <c r="O99" s="4">
        <v>27827000</v>
      </c>
      <c r="P99" s="3">
        <v>23312000</v>
      </c>
      <c r="Q99" s="3">
        <v>20563000</v>
      </c>
      <c r="R99" s="3">
        <v>30456000</v>
      </c>
      <c r="S99" s="3">
        <v>27827000</v>
      </c>
    </row>
    <row r="100" spans="1:19" ht="16" x14ac:dyDescent="0.2">
      <c r="A100" s="2" t="s">
        <v>109</v>
      </c>
      <c r="B100" s="3">
        <v>4298930</v>
      </c>
      <c r="C100" s="3">
        <v>6628000</v>
      </c>
      <c r="D100" s="3">
        <v>7670000</v>
      </c>
      <c r="E100" s="3">
        <v>6391000</v>
      </c>
      <c r="F100" s="3">
        <v>9521000</v>
      </c>
      <c r="G100" s="3">
        <v>12737000</v>
      </c>
      <c r="H100" s="3">
        <v>14664000</v>
      </c>
      <c r="I100" s="3">
        <v>15531000</v>
      </c>
      <c r="J100" s="3">
        <v>16070000</v>
      </c>
      <c r="K100" s="3">
        <v>15815000</v>
      </c>
      <c r="L100" s="3">
        <v>18765000</v>
      </c>
      <c r="M100" s="3">
        <v>28432000</v>
      </c>
      <c r="N100" s="3">
        <v>30456000</v>
      </c>
      <c r="O100" s="4">
        <v>27827000</v>
      </c>
      <c r="P100" s="3">
        <v>23312000</v>
      </c>
      <c r="Q100" s="3">
        <v>20563000</v>
      </c>
      <c r="R100" s="3">
        <v>30456000</v>
      </c>
      <c r="S100" s="3">
        <v>27827000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v>246000</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-7534158</v>
      </c>
      <c r="C103" s="3">
        <v>123000</v>
      </c>
      <c r="D103" s="3">
        <v>264000</v>
      </c>
      <c r="E103" s="3">
        <v>292000</v>
      </c>
      <c r="F103" s="3">
        <v>306000</v>
      </c>
      <c r="G103" s="3">
        <v>320000</v>
      </c>
      <c r="H103" s="3">
        <v>229000</v>
      </c>
      <c r="I103" s="3">
        <v>82000</v>
      </c>
      <c r="J103" s="3" t="s">
        <v>24</v>
      </c>
      <c r="K103" s="3" t="s">
        <v>24</v>
      </c>
      <c r="L103" s="3" t="s">
        <v>24</v>
      </c>
      <c r="M103" s="3" t="s">
        <v>24</v>
      </c>
      <c r="N103" s="3" t="s">
        <v>24</v>
      </c>
      <c r="O103" s="4" t="s">
        <v>24</v>
      </c>
      <c r="P103" s="3" t="s">
        <v>24</v>
      </c>
      <c r="Q103" s="3" t="s">
        <v>24</v>
      </c>
      <c r="R103" s="3" t="s">
        <v>24</v>
      </c>
      <c r="S103" s="3" t="s">
        <v>24</v>
      </c>
    </row>
    <row r="104" spans="1:19" ht="16" x14ac:dyDescent="0.2">
      <c r="A104" s="2" t="s">
        <v>113</v>
      </c>
      <c r="B104" s="3" t="s">
        <v>24</v>
      </c>
      <c r="C104" s="3">
        <v>10851000</v>
      </c>
      <c r="D104" s="3">
        <v>11259000</v>
      </c>
      <c r="E104" s="3">
        <v>10300000</v>
      </c>
      <c r="F104" s="3">
        <v>13971000</v>
      </c>
      <c r="G104" s="3">
        <v>17800000</v>
      </c>
      <c r="H104" s="3">
        <v>20036000</v>
      </c>
      <c r="I104" s="3">
        <v>21175000</v>
      </c>
      <c r="J104" s="3">
        <v>22781000</v>
      </c>
      <c r="K104" s="3">
        <v>25389000</v>
      </c>
      <c r="L104" s="3">
        <v>29997000</v>
      </c>
      <c r="M104" s="3">
        <v>41764000</v>
      </c>
      <c r="N104" s="3">
        <v>45848000</v>
      </c>
      <c r="O104" s="4">
        <v>37914000</v>
      </c>
      <c r="P104" s="3">
        <v>33316000</v>
      </c>
      <c r="Q104" s="3">
        <v>35265000</v>
      </c>
      <c r="R104" s="3">
        <v>45848000</v>
      </c>
      <c r="S104" s="3">
        <v>37914000</v>
      </c>
    </row>
    <row r="105" spans="1:19" ht="16" x14ac:dyDescent="0.2">
      <c r="A105" s="2" t="s">
        <v>114</v>
      </c>
      <c r="B105" s="3" t="s">
        <v>24</v>
      </c>
      <c r="C105" s="3" t="s">
        <v>24</v>
      </c>
      <c r="D105" s="3" t="s">
        <v>24</v>
      </c>
      <c r="E105" s="3" t="s">
        <v>24</v>
      </c>
      <c r="F105" s="3" t="s">
        <v>24</v>
      </c>
      <c r="G105" s="3" t="s">
        <v>24</v>
      </c>
      <c r="H105" s="3" t="s">
        <v>24</v>
      </c>
      <c r="I105" s="3" t="s">
        <v>24</v>
      </c>
      <c r="J105" s="3" t="s">
        <v>24</v>
      </c>
      <c r="K105" s="3">
        <v>15529000</v>
      </c>
      <c r="L105" s="3">
        <v>14466000</v>
      </c>
      <c r="M105" s="3">
        <v>14548000</v>
      </c>
      <c r="N105" s="3">
        <v>13309000</v>
      </c>
      <c r="O105" s="4">
        <v>12989000</v>
      </c>
      <c r="P105" s="3">
        <v>13937000</v>
      </c>
      <c r="Q105" s="3">
        <v>13625000</v>
      </c>
      <c r="R105" s="3">
        <v>13309000</v>
      </c>
      <c r="S105" s="3">
        <v>12989000</v>
      </c>
    </row>
    <row r="106" spans="1:19" ht="16" x14ac:dyDescent="0.2">
      <c r="A106" s="2" t="s">
        <v>115</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ht="16" x14ac:dyDescent="0.2">
      <c r="A107" s="2" t="s">
        <v>116</v>
      </c>
      <c r="B107" s="3" t="s">
        <v>24</v>
      </c>
      <c r="C107" s="3" t="s">
        <v>24</v>
      </c>
      <c r="D107" s="3" t="s">
        <v>24</v>
      </c>
      <c r="E107" s="3" t="s">
        <v>24</v>
      </c>
      <c r="F107" s="3" t="s">
        <v>24</v>
      </c>
      <c r="G107" s="3" t="s">
        <v>24</v>
      </c>
      <c r="H107" s="3" t="s">
        <v>24</v>
      </c>
      <c r="I107" s="3" t="s">
        <v>24</v>
      </c>
      <c r="J107" s="3" t="s">
        <v>24</v>
      </c>
      <c r="K107" s="3">
        <v>15529000</v>
      </c>
      <c r="L107" s="3">
        <v>14466000</v>
      </c>
      <c r="M107" s="3">
        <v>14548000</v>
      </c>
      <c r="N107" s="3">
        <v>13309000</v>
      </c>
      <c r="O107" s="4">
        <v>12989000</v>
      </c>
      <c r="P107" s="3">
        <v>13937000</v>
      </c>
      <c r="Q107" s="3">
        <v>13625000</v>
      </c>
      <c r="R107" s="3">
        <v>13309000</v>
      </c>
      <c r="S107" s="3">
        <v>12989000</v>
      </c>
    </row>
    <row r="108" spans="1:19" ht="16" x14ac:dyDescent="0.2">
      <c r="A108" s="2" t="s">
        <v>117</v>
      </c>
      <c r="B108" s="3">
        <v>8550000</v>
      </c>
      <c r="C108" s="3">
        <v>1598000</v>
      </c>
      <c r="D108" s="3">
        <v>1176000</v>
      </c>
      <c r="E108" s="3">
        <v>974000</v>
      </c>
      <c r="F108" s="3">
        <v>954000</v>
      </c>
      <c r="G108" s="3">
        <v>867000</v>
      </c>
      <c r="H108" s="3">
        <v>1101000</v>
      </c>
      <c r="I108" s="3">
        <v>1351000</v>
      </c>
      <c r="J108" s="3">
        <v>2459000</v>
      </c>
      <c r="K108" s="3">
        <v>1764000</v>
      </c>
      <c r="L108" s="3">
        <v>801000</v>
      </c>
      <c r="M108" s="3">
        <v>989000</v>
      </c>
      <c r="N108" s="3">
        <v>657000</v>
      </c>
      <c r="O108" s="4">
        <v>681000</v>
      </c>
      <c r="P108" s="3">
        <v>943000</v>
      </c>
      <c r="Q108" s="3">
        <v>604000</v>
      </c>
      <c r="R108" s="3">
        <v>657000</v>
      </c>
      <c r="S108" s="3">
        <v>681000</v>
      </c>
    </row>
    <row r="109" spans="1:19" ht="16" x14ac:dyDescent="0.2">
      <c r="A109" s="2" t="s">
        <v>118</v>
      </c>
      <c r="B109" s="3">
        <v>199938</v>
      </c>
      <c r="C109" s="3">
        <v>475000</v>
      </c>
      <c r="D109" s="3">
        <v>1176000</v>
      </c>
      <c r="E109" s="3">
        <v>974000</v>
      </c>
      <c r="F109" s="3">
        <v>954000</v>
      </c>
      <c r="G109" s="3">
        <v>867000</v>
      </c>
      <c r="H109" s="3">
        <v>1101000</v>
      </c>
      <c r="I109" s="3">
        <v>1351000</v>
      </c>
      <c r="J109" s="3">
        <v>2459000</v>
      </c>
      <c r="K109" s="3">
        <v>1764000</v>
      </c>
      <c r="L109" s="3">
        <v>801000</v>
      </c>
      <c r="M109" s="3">
        <v>989000</v>
      </c>
      <c r="N109" s="3">
        <v>657000</v>
      </c>
      <c r="O109" s="4">
        <v>681000</v>
      </c>
      <c r="P109" s="3">
        <v>943000</v>
      </c>
      <c r="Q109" s="3">
        <v>604000</v>
      </c>
      <c r="R109" s="3">
        <v>657000</v>
      </c>
      <c r="S109" s="3">
        <v>681000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8350062</v>
      </c>
      <c r="C114" s="3">
        <v>1123000</v>
      </c>
      <c r="D114" s="3" t="s">
        <v>24</v>
      </c>
      <c r="E114" s="3" t="s">
        <v>24</v>
      </c>
      <c r="F114" s="3" t="s">
        <v>24</v>
      </c>
      <c r="G114" s="3" t="s">
        <v>24</v>
      </c>
      <c r="H114" s="3" t="s">
        <v>24</v>
      </c>
      <c r="I114" s="3" t="s">
        <v>24</v>
      </c>
      <c r="J114" s="3" t="s">
        <v>24</v>
      </c>
      <c r="K114" s="3" t="s">
        <v>24</v>
      </c>
      <c r="L114" s="3" t="s">
        <v>24</v>
      </c>
      <c r="M114" s="3" t="s">
        <v>24</v>
      </c>
      <c r="N114" s="3" t="s">
        <v>24</v>
      </c>
      <c r="O114" s="4" t="s">
        <v>24</v>
      </c>
      <c r="P114" s="3" t="s">
        <v>24</v>
      </c>
      <c r="Q114" s="3" t="s">
        <v>24</v>
      </c>
      <c r="R114" s="3" t="s">
        <v>24</v>
      </c>
      <c r="S114" s="3" t="s">
        <v>24</v>
      </c>
    </row>
    <row r="115" spans="1:19" ht="16" x14ac:dyDescent="0.2">
      <c r="A115" s="2" t="s">
        <v>121</v>
      </c>
      <c r="B115" s="3">
        <v>8550000</v>
      </c>
      <c r="C115" s="3">
        <v>1598000</v>
      </c>
      <c r="D115" s="3">
        <v>1176000</v>
      </c>
      <c r="E115" s="3">
        <v>974000</v>
      </c>
      <c r="F115" s="3">
        <v>954000</v>
      </c>
      <c r="G115" s="3">
        <v>867000</v>
      </c>
      <c r="H115" s="3">
        <v>1101000</v>
      </c>
      <c r="I115" s="3">
        <v>1351000</v>
      </c>
      <c r="J115" s="3">
        <v>2459000</v>
      </c>
      <c r="K115" s="3">
        <v>17293000</v>
      </c>
      <c r="L115" s="3">
        <v>15267000</v>
      </c>
      <c r="M115" s="3">
        <v>15537000</v>
      </c>
      <c r="N115" s="3">
        <v>13966000</v>
      </c>
      <c r="O115" s="4">
        <v>13670000</v>
      </c>
      <c r="P115" s="3">
        <v>14880000</v>
      </c>
      <c r="Q115" s="3">
        <v>14229000</v>
      </c>
      <c r="R115" s="3">
        <v>13966000</v>
      </c>
      <c r="S115" s="3">
        <v>13670000</v>
      </c>
    </row>
    <row r="116" spans="1:19" ht="16" x14ac:dyDescent="0.2">
      <c r="A116" s="2" t="s">
        <v>122</v>
      </c>
      <c r="B116" s="3">
        <v>8549562</v>
      </c>
      <c r="C116" s="3">
        <v>12449000</v>
      </c>
      <c r="D116" s="3">
        <v>12435000</v>
      </c>
      <c r="E116" s="3">
        <v>11274000</v>
      </c>
      <c r="F116" s="3">
        <v>14925000</v>
      </c>
      <c r="G116" s="3">
        <v>18667000</v>
      </c>
      <c r="H116" s="3">
        <v>21137000</v>
      </c>
      <c r="I116" s="3">
        <v>22526000</v>
      </c>
      <c r="J116" s="3">
        <v>25240000</v>
      </c>
      <c r="K116" s="3">
        <v>42682000</v>
      </c>
      <c r="L116" s="3">
        <v>45264000</v>
      </c>
      <c r="M116" s="3">
        <v>57301000</v>
      </c>
      <c r="N116" s="3">
        <v>59814000</v>
      </c>
      <c r="O116" s="4">
        <v>51584000</v>
      </c>
      <c r="P116" s="3">
        <v>48196000</v>
      </c>
      <c r="Q116" s="3">
        <v>49494000</v>
      </c>
      <c r="R116" s="3">
        <v>59814000</v>
      </c>
      <c r="S116" s="3">
        <v>51584000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4560824</v>
      </c>
      <c r="C118" s="3">
        <v>5134000</v>
      </c>
      <c r="D118" s="3">
        <v>6159000</v>
      </c>
      <c r="E118" s="3">
        <v>7354000</v>
      </c>
      <c r="F118" s="3">
        <v>8952000</v>
      </c>
      <c r="G118" s="3">
        <v>10901000</v>
      </c>
      <c r="H118" s="3">
        <v>13105000</v>
      </c>
      <c r="I118" s="3">
        <v>14269000</v>
      </c>
      <c r="J118" s="3">
        <v>15892000</v>
      </c>
      <c r="K118" s="3">
        <v>18164000</v>
      </c>
      <c r="L118" s="3">
        <v>19893000</v>
      </c>
      <c r="M118" s="3">
        <v>21806000</v>
      </c>
      <c r="N118" s="3">
        <v>24973000</v>
      </c>
      <c r="O118" s="4">
        <v>26032000</v>
      </c>
      <c r="P118" s="3">
        <v>23202000</v>
      </c>
      <c r="Q118" s="3">
        <v>24327000</v>
      </c>
      <c r="R118" s="3">
        <v>24973000</v>
      </c>
      <c r="S118" s="3">
        <v>26032000</v>
      </c>
    </row>
    <row r="119" spans="1:19" ht="16" x14ac:dyDescent="0.2">
      <c r="A119" s="2" t="s">
        <v>125</v>
      </c>
      <c r="B119" s="3">
        <v>105591</v>
      </c>
      <c r="C119" s="3">
        <v>107000</v>
      </c>
      <c r="D119" s="3">
        <v>109000</v>
      </c>
      <c r="E119" s="3">
        <v>111000</v>
      </c>
      <c r="F119" s="3">
        <v>114000</v>
      </c>
      <c r="G119" s="3">
        <v>115000</v>
      </c>
      <c r="H119" s="3">
        <v>117000</v>
      </c>
      <c r="I119" s="3">
        <v>119000</v>
      </c>
      <c r="J119" s="3">
        <v>120000</v>
      </c>
      <c r="K119" s="3">
        <v>122000</v>
      </c>
      <c r="L119" s="3">
        <v>123000</v>
      </c>
      <c r="M119" s="3">
        <v>125000</v>
      </c>
      <c r="N119" s="3">
        <v>126000</v>
      </c>
      <c r="O119" s="4">
        <v>127000</v>
      </c>
      <c r="P119" s="3">
        <v>126000</v>
      </c>
      <c r="Q119" s="3">
        <v>126000</v>
      </c>
      <c r="R119" s="3">
        <v>126000</v>
      </c>
      <c r="S119" s="3">
        <v>127000</v>
      </c>
    </row>
    <row r="120" spans="1:19" ht="16" x14ac:dyDescent="0.2">
      <c r="A120" s="2" t="s">
        <v>126</v>
      </c>
      <c r="B120" s="3">
        <v>4455233</v>
      </c>
      <c r="C120" s="3">
        <v>5027000</v>
      </c>
      <c r="D120" s="3">
        <v>6050000</v>
      </c>
      <c r="E120" s="3">
        <v>7243000</v>
      </c>
      <c r="F120" s="3">
        <v>8838000</v>
      </c>
      <c r="G120" s="3">
        <v>10786000</v>
      </c>
      <c r="H120" s="3">
        <v>12988000</v>
      </c>
      <c r="I120" s="3">
        <v>14150000</v>
      </c>
      <c r="J120" s="3">
        <v>15772000</v>
      </c>
      <c r="K120" s="3">
        <v>18042000</v>
      </c>
      <c r="L120" s="3">
        <v>19770000</v>
      </c>
      <c r="M120" s="3">
        <v>21681000</v>
      </c>
      <c r="N120" s="3">
        <v>24847000</v>
      </c>
      <c r="O120" s="4">
        <v>25905000</v>
      </c>
      <c r="P120" s="3">
        <v>23076000</v>
      </c>
      <c r="Q120" s="3">
        <v>24201000</v>
      </c>
      <c r="R120" s="3">
        <v>24847000</v>
      </c>
      <c r="S120" s="3">
        <v>25905000</v>
      </c>
    </row>
    <row r="121" spans="1:19" ht="16" x14ac:dyDescent="0.2">
      <c r="A121" s="2" t="s">
        <v>127</v>
      </c>
      <c r="B121" s="3">
        <v>400208</v>
      </c>
      <c r="C121" s="3">
        <v>532000</v>
      </c>
      <c r="D121" s="3">
        <v>595000</v>
      </c>
      <c r="E121" s="3">
        <v>621000</v>
      </c>
      <c r="F121" s="3">
        <v>1453000</v>
      </c>
      <c r="G121" s="3">
        <v>2270000</v>
      </c>
      <c r="H121" s="3">
        <v>3984000</v>
      </c>
      <c r="I121" s="3">
        <v>6160000</v>
      </c>
      <c r="J121" s="3">
        <v>7207000</v>
      </c>
      <c r="K121" s="3">
        <v>8597000</v>
      </c>
      <c r="L121" s="3">
        <v>12117000</v>
      </c>
      <c r="M121" s="3">
        <v>13639000</v>
      </c>
      <c r="N121" s="3">
        <v>16415000</v>
      </c>
      <c r="O121" s="4">
        <v>19794000</v>
      </c>
      <c r="P121" s="3">
        <v>16415000</v>
      </c>
      <c r="Q121" s="3">
        <v>16415000</v>
      </c>
      <c r="R121" s="3">
        <v>16415000</v>
      </c>
      <c r="S121" s="3">
        <v>19794000</v>
      </c>
    </row>
    <row r="122" spans="1:19" ht="16" x14ac:dyDescent="0.2">
      <c r="A122" s="2" t="s">
        <v>128</v>
      </c>
      <c r="B122" s="3">
        <v>5100108</v>
      </c>
      <c r="C122" s="3">
        <v>8276000</v>
      </c>
      <c r="D122" s="3">
        <v>8951000</v>
      </c>
      <c r="E122" s="3">
        <v>11971000</v>
      </c>
      <c r="F122" s="3">
        <v>10752000</v>
      </c>
      <c r="G122" s="3">
        <v>8916000</v>
      </c>
      <c r="H122" s="3">
        <v>6385000</v>
      </c>
      <c r="I122" s="3">
        <v>5682000</v>
      </c>
      <c r="J122" s="3">
        <v>7724000</v>
      </c>
      <c r="K122" s="3">
        <v>8106000</v>
      </c>
      <c r="L122" s="3">
        <v>11770000</v>
      </c>
      <c r="M122" s="3">
        <v>16787000</v>
      </c>
      <c r="N122" s="3">
        <v>21246000</v>
      </c>
      <c r="O122" s="4">
        <v>25420000</v>
      </c>
      <c r="P122" s="3">
        <v>27535000</v>
      </c>
      <c r="Q122" s="3">
        <v>32569000</v>
      </c>
      <c r="R122" s="3">
        <v>21246000</v>
      </c>
      <c r="S122" s="3">
        <v>25420000</v>
      </c>
    </row>
    <row r="123" spans="1:19" ht="16" x14ac:dyDescent="0.2">
      <c r="A123" s="2" t="s">
        <v>129</v>
      </c>
      <c r="B123" s="3" t="s">
        <v>24</v>
      </c>
      <c r="C123" s="3">
        <v>-6000</v>
      </c>
      <c r="D123" s="3" t="s">
        <v>24</v>
      </c>
      <c r="E123" s="3" t="s">
        <v>24</v>
      </c>
      <c r="F123" s="3" t="s">
        <v>24</v>
      </c>
      <c r="G123" s="3" t="s">
        <v>24</v>
      </c>
      <c r="H123" s="3" t="s">
        <v>24</v>
      </c>
      <c r="I123" s="3" t="s">
        <v>24</v>
      </c>
      <c r="J123" s="3" t="s">
        <v>24</v>
      </c>
      <c r="K123" s="3" t="s">
        <v>24</v>
      </c>
      <c r="L123" s="3" t="s">
        <v>24</v>
      </c>
      <c r="M123" s="3" t="s">
        <v>24</v>
      </c>
      <c r="N123" s="3" t="s">
        <v>24</v>
      </c>
      <c r="O123" s="4" t="s">
        <v>24</v>
      </c>
      <c r="P123" s="3" t="s">
        <v>24</v>
      </c>
      <c r="Q123" s="3" t="s">
        <v>24</v>
      </c>
      <c r="R123" s="3" t="s">
        <v>24</v>
      </c>
      <c r="S123" s="3" t="s">
        <v>24</v>
      </c>
    </row>
    <row r="124" spans="1:19" ht="16" x14ac:dyDescent="0.2">
      <c r="A124" s="2" t="s">
        <v>130</v>
      </c>
      <c r="B124" s="3">
        <v>9260724</v>
      </c>
      <c r="C124" s="3">
        <v>12872000</v>
      </c>
      <c r="D124" s="3">
        <v>14515000</v>
      </c>
      <c r="E124" s="3">
        <v>18704000</v>
      </c>
      <c r="F124" s="3">
        <v>18251000</v>
      </c>
      <c r="G124" s="3">
        <v>17547000</v>
      </c>
      <c r="H124" s="3">
        <v>15506000</v>
      </c>
      <c r="I124" s="3">
        <v>13791000</v>
      </c>
      <c r="J124" s="3">
        <v>16409000</v>
      </c>
      <c r="K124" s="3">
        <v>17673000</v>
      </c>
      <c r="L124" s="3">
        <v>19546000</v>
      </c>
      <c r="M124" s="3">
        <v>24954000</v>
      </c>
      <c r="N124" s="3">
        <v>29804000</v>
      </c>
      <c r="O124" s="4">
        <v>31658000</v>
      </c>
      <c r="P124" s="3">
        <v>34322000</v>
      </c>
      <c r="Q124" s="3">
        <v>40481000</v>
      </c>
      <c r="R124" s="3">
        <v>29804000</v>
      </c>
      <c r="S124" s="3">
        <v>31658000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9260724</v>
      </c>
      <c r="C126" s="3">
        <v>12872000</v>
      </c>
      <c r="D126" s="3">
        <v>14515000</v>
      </c>
      <c r="E126" s="3">
        <v>18704000</v>
      </c>
      <c r="F126" s="3">
        <v>18251000</v>
      </c>
      <c r="G126" s="3">
        <v>17547000</v>
      </c>
      <c r="H126" s="3">
        <v>15506000</v>
      </c>
      <c r="I126" s="3">
        <v>13791000</v>
      </c>
      <c r="J126" s="3">
        <v>16409000</v>
      </c>
      <c r="K126" s="3">
        <v>17673000</v>
      </c>
      <c r="L126" s="3">
        <v>19546000</v>
      </c>
      <c r="M126" s="3">
        <v>24954000</v>
      </c>
      <c r="N126" s="3">
        <v>29804000</v>
      </c>
      <c r="O126" s="4">
        <v>31658000</v>
      </c>
      <c r="P126" s="3">
        <v>34322000</v>
      </c>
      <c r="Q126" s="3">
        <v>40481000</v>
      </c>
      <c r="R126" s="3">
        <v>29804000</v>
      </c>
      <c r="S126" s="3">
        <v>31658000</v>
      </c>
    </row>
    <row r="127" spans="1:19" ht="16" x14ac:dyDescent="0.2">
      <c r="A127" s="2" t="s">
        <v>133</v>
      </c>
      <c r="B127" s="3">
        <v>17810286</v>
      </c>
      <c r="C127" s="3">
        <v>25321000</v>
      </c>
      <c r="D127" s="3">
        <v>26950000</v>
      </c>
      <c r="E127" s="3">
        <v>29978000</v>
      </c>
      <c r="F127" s="3">
        <v>33176000</v>
      </c>
      <c r="G127" s="3">
        <v>36214000</v>
      </c>
      <c r="H127" s="3">
        <v>36643000</v>
      </c>
      <c r="I127" s="3">
        <v>36317000</v>
      </c>
      <c r="J127" s="3">
        <v>41649000</v>
      </c>
      <c r="K127" s="3">
        <v>60355000</v>
      </c>
      <c r="L127" s="3">
        <v>64810000</v>
      </c>
      <c r="M127" s="3">
        <v>82255000</v>
      </c>
      <c r="N127" s="3">
        <v>89618000</v>
      </c>
      <c r="O127" s="4">
        <v>83242000</v>
      </c>
      <c r="P127" s="3">
        <v>82518000</v>
      </c>
      <c r="Q127" s="3">
        <v>89975000</v>
      </c>
      <c r="R127" s="3">
        <v>89618000</v>
      </c>
      <c r="S127" s="3">
        <v>83242000</v>
      </c>
    </row>
    <row r="128" spans="1:19" ht="16" x14ac:dyDescent="0.2">
      <c r="A128" s="28" t="s">
        <v>134</v>
      </c>
      <c r="B128" s="26">
        <v>10481000</v>
      </c>
      <c r="C128" s="26">
        <v>10615000</v>
      </c>
      <c r="D128" s="26">
        <v>10831000</v>
      </c>
      <c r="E128" s="26">
        <v>11019000</v>
      </c>
      <c r="F128" s="26">
        <v>11253000</v>
      </c>
      <c r="G128" s="26">
        <v>11412000</v>
      </c>
      <c r="H128" s="26">
        <v>11379000</v>
      </c>
      <c r="I128" s="26">
        <v>11445000</v>
      </c>
      <c r="J128" s="26">
        <v>11549000</v>
      </c>
      <c r="K128" s="26">
        <v>11655000</v>
      </c>
      <c r="L128" s="26">
        <v>11710000</v>
      </c>
      <c r="M128" s="26">
        <v>11802000</v>
      </c>
      <c r="N128" s="26">
        <v>11875000</v>
      </c>
      <c r="O128" s="27">
        <v>11914000</v>
      </c>
      <c r="P128" s="26">
        <v>11857000</v>
      </c>
      <c r="Q128" s="26">
        <v>11865000</v>
      </c>
      <c r="R128" s="26">
        <v>11875000</v>
      </c>
      <c r="S128" s="26">
        <v>11914000</v>
      </c>
    </row>
    <row r="129" spans="1:19" ht="16" x14ac:dyDescent="0.2">
      <c r="A129" s="13" t="s">
        <v>198</v>
      </c>
      <c r="B129" s="10"/>
      <c r="C129" s="19">
        <f>(C128/B128)-1</f>
        <v>1.2785039595458514E-2</v>
      </c>
      <c r="D129" s="19">
        <f>(D128/C128)-1</f>
        <v>2.0348563353744797E-2</v>
      </c>
      <c r="E129" s="19">
        <f>(E128/D128)-1</f>
        <v>1.7357584710552931E-2</v>
      </c>
      <c r="F129" s="19">
        <f t="shared" ref="F129:N129" si="3">(F128/E128)-1</f>
        <v>2.123604682820579E-2</v>
      </c>
      <c r="G129" s="19">
        <f t="shared" si="3"/>
        <v>1.412956544921351E-2</v>
      </c>
      <c r="H129" s="19">
        <f t="shared" si="3"/>
        <v>-2.8916929547844195E-3</v>
      </c>
      <c r="I129" s="19">
        <f t="shared" si="3"/>
        <v>5.8001581861324425E-3</v>
      </c>
      <c r="J129" s="19">
        <f t="shared" si="3"/>
        <v>9.086937527304606E-3</v>
      </c>
      <c r="K129" s="19">
        <f t="shared" si="3"/>
        <v>9.1782838340981332E-3</v>
      </c>
      <c r="L129" s="19">
        <f t="shared" si="3"/>
        <v>4.7190047190046602E-3</v>
      </c>
      <c r="M129" s="19">
        <f t="shared" si="3"/>
        <v>7.8565328778821275E-3</v>
      </c>
      <c r="N129" s="19">
        <f t="shared" si="3"/>
        <v>6.185392306388815E-3</v>
      </c>
      <c r="O129" s="19">
        <f>(O128/N128)-1</f>
        <v>3.2842105263157784E-3</v>
      </c>
      <c r="P129" s="19"/>
      <c r="Q129" s="19">
        <f>(Q128/P128)-1</f>
        <v>6.7470692417970213E-4</v>
      </c>
      <c r="R129" s="19">
        <f>(R128/Q128)-1</f>
        <v>8.4281500210714455E-4</v>
      </c>
      <c r="S129" s="19">
        <f>(S128/R128)-1</f>
        <v>3.2842105263157784E-3</v>
      </c>
    </row>
    <row r="130" spans="1:19" ht="16" x14ac:dyDescent="0.2">
      <c r="A130" s="2" t="s">
        <v>135</v>
      </c>
      <c r="B130" s="3" t="s">
        <v>24</v>
      </c>
      <c r="C130" s="3" t="s">
        <v>24</v>
      </c>
      <c r="D130" s="3" t="s">
        <v>24</v>
      </c>
      <c r="E130" s="3" t="s">
        <v>24</v>
      </c>
      <c r="F130" s="3" t="s">
        <v>24</v>
      </c>
      <c r="G130" s="3" t="s">
        <v>24</v>
      </c>
      <c r="H130" s="3" t="s">
        <v>24</v>
      </c>
      <c r="I130" s="3" t="s">
        <v>24</v>
      </c>
      <c r="J130" s="3" t="s">
        <v>24</v>
      </c>
      <c r="K130" s="3">
        <v>17468000</v>
      </c>
      <c r="L130" s="3">
        <v>16294000</v>
      </c>
      <c r="M130" s="3">
        <v>16459000</v>
      </c>
      <c r="N130" s="3">
        <v>15243000</v>
      </c>
      <c r="O130" s="4">
        <v>14924000</v>
      </c>
      <c r="P130" s="3">
        <v>15868000</v>
      </c>
      <c r="Q130" s="3">
        <v>15558000</v>
      </c>
      <c r="R130" s="3">
        <v>15243000</v>
      </c>
      <c r="S130" s="3">
        <v>14924000</v>
      </c>
    </row>
    <row r="131" spans="1:19" ht="16" x14ac:dyDescent="0.2">
      <c r="A131" s="2" t="s">
        <v>136</v>
      </c>
      <c r="B131" s="3">
        <v>-6610549</v>
      </c>
      <c r="C131" s="3">
        <v>-10170000</v>
      </c>
      <c r="D131" s="3">
        <v>-13611000</v>
      </c>
      <c r="E131" s="3">
        <v>-18936000</v>
      </c>
      <c r="F131" s="3">
        <v>-20272000</v>
      </c>
      <c r="G131" s="3">
        <v>-23925000</v>
      </c>
      <c r="H131" s="3">
        <v>-25034000</v>
      </c>
      <c r="I131" s="3">
        <v>-23683000</v>
      </c>
      <c r="J131" s="3">
        <v>-28813000</v>
      </c>
      <c r="K131" s="3">
        <v>-28217000</v>
      </c>
      <c r="L131" s="3">
        <v>-33733000</v>
      </c>
      <c r="M131" s="3">
        <v>-50394000</v>
      </c>
      <c r="N131" s="3">
        <v>-37368000</v>
      </c>
      <c r="O131" s="4">
        <v>-29884000</v>
      </c>
      <c r="P131" s="3">
        <v>-37649000</v>
      </c>
      <c r="Q131" s="3">
        <v>-44745000</v>
      </c>
      <c r="R131" s="3">
        <v>-37368000</v>
      </c>
      <c r="S131" s="3">
        <v>-29884000</v>
      </c>
    </row>
    <row r="132" spans="1:19" ht="16" x14ac:dyDescent="0.2">
      <c r="A132" s="2" t="s">
        <v>137</v>
      </c>
      <c r="B132" s="5">
        <v>-71.38</v>
      </c>
      <c r="C132" s="5">
        <v>-79.010000000000005</v>
      </c>
      <c r="D132" s="5">
        <v>-93.77</v>
      </c>
      <c r="E132" s="5">
        <v>-101.24</v>
      </c>
      <c r="F132" s="5">
        <v>-111.07</v>
      </c>
      <c r="G132" s="5">
        <v>-136.35</v>
      </c>
      <c r="H132" s="5">
        <v>-161.44999999999999</v>
      </c>
      <c r="I132" s="5">
        <v>-171.73</v>
      </c>
      <c r="J132" s="5">
        <v>-175.59</v>
      </c>
      <c r="K132" s="5">
        <v>-159.66</v>
      </c>
      <c r="L132" s="5">
        <v>-172.58</v>
      </c>
      <c r="M132" s="5">
        <v>-201.95</v>
      </c>
      <c r="N132" s="5">
        <v>-125.38</v>
      </c>
      <c r="O132" s="6">
        <v>-94.4</v>
      </c>
      <c r="P132" s="5">
        <v>-109.69</v>
      </c>
      <c r="Q132" s="5">
        <v>-110.53</v>
      </c>
      <c r="R132" s="5">
        <v>-125.38</v>
      </c>
      <c r="S132" s="5">
        <v>-94.4</v>
      </c>
    </row>
    <row r="133" spans="1:19" ht="16" x14ac:dyDescent="0.2">
      <c r="A133" s="2" t="s">
        <v>138</v>
      </c>
      <c r="B133" s="5">
        <v>51.07</v>
      </c>
      <c r="C133" s="5">
        <v>50.26</v>
      </c>
      <c r="D133" s="5">
        <v>53.36</v>
      </c>
      <c r="E133" s="5">
        <v>62.02</v>
      </c>
      <c r="F133" s="5">
        <v>54.61</v>
      </c>
      <c r="G133" s="5">
        <v>48.04</v>
      </c>
      <c r="H133" s="5">
        <v>41.85</v>
      </c>
      <c r="I133" s="5">
        <v>37.35</v>
      </c>
      <c r="J133" s="5">
        <v>38.94</v>
      </c>
      <c r="K133" s="5">
        <v>28.94</v>
      </c>
      <c r="L133" s="5">
        <v>29.84</v>
      </c>
      <c r="M133" s="5">
        <v>30.09</v>
      </c>
      <c r="N133" s="5">
        <v>22.96</v>
      </c>
      <c r="O133" s="6">
        <v>27.76</v>
      </c>
      <c r="P133" s="5">
        <v>31.39</v>
      </c>
      <c r="Q133" s="5">
        <v>36.43</v>
      </c>
      <c r="R133" s="5">
        <v>22.96</v>
      </c>
      <c r="S133" s="5">
        <v>27.76</v>
      </c>
    </row>
    <row r="134" spans="1:19" ht="16" x14ac:dyDescent="0.2">
      <c r="A134" s="2" t="s">
        <v>139</v>
      </c>
      <c r="B134" s="3" t="s">
        <v>24</v>
      </c>
      <c r="C134" s="5">
        <v>1.81</v>
      </c>
      <c r="D134" s="5">
        <v>1.9</v>
      </c>
      <c r="E134" s="5">
        <v>2.4300000000000002</v>
      </c>
      <c r="F134" s="5">
        <v>2.0099999999999998</v>
      </c>
      <c r="G134" s="5">
        <v>1.78</v>
      </c>
      <c r="H134" s="5">
        <v>1.65</v>
      </c>
      <c r="I134" s="5">
        <v>1.53</v>
      </c>
      <c r="J134" s="5">
        <v>1.61</v>
      </c>
      <c r="K134" s="5">
        <v>1.38</v>
      </c>
      <c r="L134" s="5">
        <v>1.4</v>
      </c>
      <c r="M134" s="5">
        <v>1.44</v>
      </c>
      <c r="N134" s="5">
        <v>1.06</v>
      </c>
      <c r="O134" s="6">
        <v>1.0900000000000001</v>
      </c>
      <c r="P134" s="5">
        <v>1.46</v>
      </c>
      <c r="Q134" s="5">
        <v>1.55</v>
      </c>
      <c r="R134" s="5">
        <v>1.06</v>
      </c>
      <c r="S134" s="5">
        <v>1.0900000000000001</v>
      </c>
    </row>
    <row r="135" spans="1:19" ht="16" x14ac:dyDescent="0.2">
      <c r="A135" s="2" t="s">
        <v>140</v>
      </c>
      <c r="B135" s="5">
        <v>55.49</v>
      </c>
      <c r="C135" s="5">
        <v>56.32</v>
      </c>
      <c r="D135" s="5">
        <v>56.12</v>
      </c>
      <c r="E135" s="5">
        <v>46.52</v>
      </c>
      <c r="F135" s="5">
        <v>36.32</v>
      </c>
      <c r="G135" s="5">
        <v>33.65</v>
      </c>
      <c r="H135" s="5">
        <v>35.92</v>
      </c>
      <c r="I135" s="5">
        <v>33.47</v>
      </c>
      <c r="J135" s="5">
        <v>25.43</v>
      </c>
      <c r="K135" s="5">
        <v>23.87</v>
      </c>
      <c r="L135" s="5">
        <v>22.4</v>
      </c>
      <c r="M135" s="5">
        <v>16.27</v>
      </c>
      <c r="N135" s="5">
        <v>18.940000000000001</v>
      </c>
      <c r="O135" s="6">
        <v>20.83</v>
      </c>
      <c r="P135" s="5">
        <v>17.61</v>
      </c>
      <c r="Q135" s="5">
        <v>21.12</v>
      </c>
      <c r="R135" s="5">
        <v>19.05</v>
      </c>
      <c r="S135" s="5">
        <v>20.83</v>
      </c>
    </row>
    <row r="136" spans="1:19" ht="16" x14ac:dyDescent="0.2">
      <c r="A136" s="2" t="s">
        <v>141</v>
      </c>
      <c r="B136" s="3" t="s">
        <v>24</v>
      </c>
      <c r="C136" s="3">
        <v>67</v>
      </c>
      <c r="D136" s="3">
        <v>74</v>
      </c>
      <c r="E136" s="3">
        <v>81</v>
      </c>
      <c r="F136" s="3">
        <v>85</v>
      </c>
      <c r="G136" s="3">
        <v>89</v>
      </c>
      <c r="H136" s="3">
        <v>88</v>
      </c>
      <c r="I136" s="3">
        <v>90</v>
      </c>
      <c r="J136" s="3">
        <v>93</v>
      </c>
      <c r="K136" s="3">
        <v>99</v>
      </c>
      <c r="L136" s="3">
        <v>102</v>
      </c>
      <c r="M136" s="3">
        <v>107</v>
      </c>
      <c r="N136" s="3">
        <v>131</v>
      </c>
      <c r="O136" s="4">
        <v>131</v>
      </c>
      <c r="P136" s="3">
        <v>107</v>
      </c>
      <c r="Q136" s="3">
        <v>107</v>
      </c>
      <c r="R136" s="3">
        <v>131</v>
      </c>
      <c r="S136" s="3">
        <v>131</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2935112</v>
      </c>
      <c r="C139" s="3">
        <v>4852000</v>
      </c>
      <c r="D139" s="3">
        <v>5477000</v>
      </c>
      <c r="E139" s="3">
        <v>5631000</v>
      </c>
      <c r="F139" s="3">
        <v>7890000</v>
      </c>
      <c r="G139" s="3">
        <v>10258000</v>
      </c>
      <c r="H139" s="3">
        <v>10528000</v>
      </c>
      <c r="I139" s="3">
        <v>12559000</v>
      </c>
      <c r="J139" s="3">
        <v>16237000</v>
      </c>
      <c r="K139" s="3">
        <v>14942000</v>
      </c>
      <c r="L139" s="3">
        <v>18274000</v>
      </c>
      <c r="M139" s="3">
        <v>30476000</v>
      </c>
      <c r="N139" s="3">
        <v>30814000</v>
      </c>
      <c r="O139" s="4">
        <v>29519000</v>
      </c>
      <c r="P139" s="3">
        <v>7402000</v>
      </c>
      <c r="Q139" s="3">
        <v>7169000</v>
      </c>
      <c r="R139" s="3">
        <v>8629000</v>
      </c>
      <c r="S139" s="3">
        <v>6319000</v>
      </c>
    </row>
    <row r="140" spans="1:19" ht="16" x14ac:dyDescent="0.2">
      <c r="A140" s="2" t="s">
        <v>143</v>
      </c>
      <c r="B140" s="3">
        <v>1016780</v>
      </c>
      <c r="C140" s="3">
        <v>1358000</v>
      </c>
      <c r="D140" s="3">
        <v>1622000</v>
      </c>
      <c r="E140" s="3">
        <v>1642000</v>
      </c>
      <c r="F140" s="3">
        <v>1543000</v>
      </c>
      <c r="G140" s="3">
        <v>1692000</v>
      </c>
      <c r="H140" s="3">
        <v>1606000</v>
      </c>
      <c r="I140" s="3">
        <v>1361000</v>
      </c>
      <c r="J140" s="3">
        <v>1042000</v>
      </c>
      <c r="K140" s="3">
        <v>1492000</v>
      </c>
      <c r="L140" s="3">
        <v>1761000</v>
      </c>
      <c r="M140" s="3">
        <v>1796000</v>
      </c>
      <c r="N140" s="3">
        <v>2092000</v>
      </c>
      <c r="O140" s="4">
        <v>2302000</v>
      </c>
      <c r="P140" s="3">
        <v>496000</v>
      </c>
      <c r="Q140" s="3">
        <v>556000</v>
      </c>
      <c r="R140" s="3">
        <v>600000</v>
      </c>
      <c r="S140" s="3">
        <v>650000</v>
      </c>
    </row>
    <row r="141" spans="1:19" ht="16" x14ac:dyDescent="0.2">
      <c r="A141" s="2" t="s">
        <v>144</v>
      </c>
      <c r="B141" s="3">
        <v>3394049</v>
      </c>
      <c r="C141" s="3">
        <v>1450000</v>
      </c>
      <c r="D141" s="3">
        <v>836000</v>
      </c>
      <c r="E141" s="3">
        <v>709000</v>
      </c>
      <c r="F141" s="3">
        <v>792000</v>
      </c>
      <c r="G141" s="3">
        <v>892000</v>
      </c>
      <c r="H141" s="3">
        <v>825000</v>
      </c>
      <c r="I141" s="3">
        <v>959000</v>
      </c>
      <c r="J141" s="3">
        <v>1485000</v>
      </c>
      <c r="K141" s="3">
        <v>2211000</v>
      </c>
      <c r="L141" s="3">
        <v>2490000</v>
      </c>
      <c r="M141" s="3">
        <v>2391000</v>
      </c>
      <c r="N141" s="3">
        <v>-950000</v>
      </c>
      <c r="O141" s="4">
        <v>-935000</v>
      </c>
      <c r="P141" s="3">
        <v>868000</v>
      </c>
      <c r="Q141" s="3">
        <v>-1123000</v>
      </c>
      <c r="R141" s="3">
        <v>-886000</v>
      </c>
      <c r="S141" s="3">
        <v>206000</v>
      </c>
    </row>
    <row r="142" spans="1:19" ht="16" x14ac:dyDescent="0.2">
      <c r="A142" s="28" t="s">
        <v>145</v>
      </c>
      <c r="B142" s="26">
        <v>626136</v>
      </c>
      <c r="C142" s="26">
        <v>555000</v>
      </c>
      <c r="D142" s="26">
        <v>958000</v>
      </c>
      <c r="E142" s="26">
        <v>1089000</v>
      </c>
      <c r="F142" s="26">
        <v>1241000</v>
      </c>
      <c r="G142" s="26">
        <v>1552000</v>
      </c>
      <c r="H142" s="26">
        <v>1647000</v>
      </c>
      <c r="I142" s="26">
        <v>1913000</v>
      </c>
      <c r="J142" s="26">
        <v>2263000</v>
      </c>
      <c r="K142" s="26">
        <v>2703000</v>
      </c>
      <c r="L142" s="26">
        <v>3059000</v>
      </c>
      <c r="M142" s="26">
        <v>3332000</v>
      </c>
      <c r="N142" s="26">
        <v>4345000</v>
      </c>
      <c r="O142" s="27">
        <v>4724000</v>
      </c>
      <c r="P142" s="26">
        <v>980000</v>
      </c>
      <c r="Q142" s="26">
        <v>1065000</v>
      </c>
      <c r="R142" s="26">
        <v>1105000</v>
      </c>
      <c r="S142" s="26">
        <v>1574000</v>
      </c>
    </row>
    <row r="143" spans="1:19" ht="16" x14ac:dyDescent="0.2">
      <c r="A143" s="12" t="s">
        <v>199</v>
      </c>
      <c r="B143" s="19">
        <f>B142/B2</f>
        <v>2.2385985784268352E-2</v>
      </c>
      <c r="C143" s="19">
        <f>C142/C2</f>
        <v>1.6823279781752045E-2</v>
      </c>
      <c r="D143" s="19">
        <f>D142/D2</f>
        <v>2.886933461909354E-2</v>
      </c>
      <c r="E143" s="19">
        <f>E142/E2</f>
        <v>3.2372175980975026E-2</v>
      </c>
      <c r="F143" s="19">
        <f>F142/F2</f>
        <v>3.1159765987897659E-2</v>
      </c>
      <c r="G143" s="19">
        <f>G142/G2</f>
        <v>3.2653061224489799E-2</v>
      </c>
      <c r="H143" s="19">
        <f>H142/H2</f>
        <v>3.3913312056007415E-2</v>
      </c>
      <c r="I143" s="19">
        <f>I142/I2</f>
        <v>3.6664366758662983E-2</v>
      </c>
      <c r="J143" s="19">
        <f>J142/J2</f>
        <v>3.9820517332394861E-2</v>
      </c>
      <c r="K143" s="19">
        <f>K142/K2</f>
        <v>4.4788732394366197E-2</v>
      </c>
      <c r="L143" s="19">
        <f>L142/L2</f>
        <v>4.4709802832546518E-2</v>
      </c>
      <c r="M143" s="19">
        <f>M142/M2</f>
        <v>3.3349681216282491E-2</v>
      </c>
      <c r="N143" s="19">
        <f>N142/N2</f>
        <v>4.1322314049586778E-2</v>
      </c>
      <c r="O143" s="19">
        <f>O142/O2</f>
        <v>4.4704368233779997E-2</v>
      </c>
      <c r="P143" s="19">
        <f>P142/P2</f>
        <v>3.8875004958546552E-2</v>
      </c>
      <c r="Q143" s="19">
        <f>Q142/Q2</f>
        <v>4.2361083489121355E-2</v>
      </c>
      <c r="R143" s="19">
        <f>R142/R2</f>
        <v>4.0483605055871036E-2</v>
      </c>
      <c r="S143" s="19">
        <f>S142/S2</f>
        <v>5.6160131301958828E-2</v>
      </c>
    </row>
    <row r="144" spans="1:19" ht="16" x14ac:dyDescent="0.2">
      <c r="A144" s="2" t="s">
        <v>146</v>
      </c>
      <c r="B144" s="3">
        <v>-133072</v>
      </c>
      <c r="C144" s="3">
        <v>241000</v>
      </c>
      <c r="D144" s="3">
        <v>-272000</v>
      </c>
      <c r="E144" s="3">
        <v>-397000</v>
      </c>
      <c r="F144" s="3">
        <v>33000</v>
      </c>
      <c r="G144" s="3">
        <v>-203000</v>
      </c>
      <c r="H144" s="3">
        <v>-229000</v>
      </c>
      <c r="I144" s="3">
        <v>90000</v>
      </c>
      <c r="J144" s="3">
        <v>-247000</v>
      </c>
      <c r="K144" s="3">
        <v>129000</v>
      </c>
      <c r="L144" s="3">
        <v>361000</v>
      </c>
      <c r="M144" s="3">
        <v>-44000</v>
      </c>
      <c r="N144" s="3">
        <v>-4466000</v>
      </c>
      <c r="O144" s="4">
        <v>-5501000</v>
      </c>
      <c r="P144" s="3">
        <v>-8000</v>
      </c>
      <c r="Q144" s="3">
        <v>-2114000</v>
      </c>
      <c r="R144" s="3">
        <v>-2270000</v>
      </c>
      <c r="S144" s="3">
        <v>-1109000</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2900985</v>
      </c>
      <c r="C146" s="3">
        <v>654000</v>
      </c>
      <c r="D146" s="3">
        <v>150000</v>
      </c>
      <c r="E146" s="3">
        <v>17000</v>
      </c>
      <c r="F146" s="3">
        <v>-482000</v>
      </c>
      <c r="G146" s="3">
        <v>-457000</v>
      </c>
      <c r="H146" s="3">
        <v>-593000</v>
      </c>
      <c r="I146" s="3">
        <v>-1044000</v>
      </c>
      <c r="J146" s="3">
        <v>-531000</v>
      </c>
      <c r="K146" s="3">
        <v>-621000</v>
      </c>
      <c r="L146" s="3">
        <v>-930000</v>
      </c>
      <c r="M146" s="3">
        <v>-897000</v>
      </c>
      <c r="N146" s="3">
        <v>-829000</v>
      </c>
      <c r="O146" s="4">
        <v>-158000</v>
      </c>
      <c r="P146" s="3">
        <v>-104000</v>
      </c>
      <c r="Q146" s="3">
        <v>-74000</v>
      </c>
      <c r="R146" s="3">
        <v>279000</v>
      </c>
      <c r="S146" s="3">
        <v>-259000</v>
      </c>
    </row>
    <row r="147" spans="1:19" ht="16" x14ac:dyDescent="0.2">
      <c r="A147" s="2" t="s">
        <v>149</v>
      </c>
      <c r="B147" s="3">
        <v>-1080290</v>
      </c>
      <c r="C147" s="3">
        <v>1440000</v>
      </c>
      <c r="D147" s="3">
        <v>772000</v>
      </c>
      <c r="E147" s="3">
        <v>346000</v>
      </c>
      <c r="F147" s="3">
        <v>2277000</v>
      </c>
      <c r="G147" s="3">
        <v>4265000</v>
      </c>
      <c r="H147" s="3">
        <v>2781000</v>
      </c>
      <c r="I147" s="3">
        <v>1604000</v>
      </c>
      <c r="J147" s="3">
        <v>3826000</v>
      </c>
      <c r="K147" s="3">
        <v>2768000</v>
      </c>
      <c r="L147" s="3">
        <v>3488000</v>
      </c>
      <c r="M147" s="3">
        <v>11793000</v>
      </c>
      <c r="N147" s="3">
        <v>1724000</v>
      </c>
      <c r="O147" s="4">
        <v>1876000</v>
      </c>
      <c r="P147" s="3">
        <v>-1630000</v>
      </c>
      <c r="Q147" s="3">
        <v>2615000</v>
      </c>
      <c r="R147" s="3">
        <v>8482000</v>
      </c>
      <c r="S147" s="3">
        <v>-7591000</v>
      </c>
    </row>
    <row r="148" spans="1:19" ht="16" x14ac:dyDescent="0.2">
      <c r="A148" s="2" t="s">
        <v>150</v>
      </c>
      <c r="B148" s="3">
        <v>-1011896</v>
      </c>
      <c r="C148" s="3">
        <v>-2258000</v>
      </c>
      <c r="D148" s="3">
        <v>494000</v>
      </c>
      <c r="E148" s="3">
        <v>1413000</v>
      </c>
      <c r="F148" s="3">
        <v>-884000</v>
      </c>
      <c r="G148" s="3">
        <v>-507000</v>
      </c>
      <c r="H148" s="3">
        <v>-189000</v>
      </c>
      <c r="I148" s="3">
        <v>-226000</v>
      </c>
      <c r="J148" s="3">
        <v>1382000</v>
      </c>
      <c r="K148" s="3">
        <v>-323000</v>
      </c>
      <c r="L148" s="3">
        <v>-1482000</v>
      </c>
      <c r="M148" s="3">
        <v>-847000</v>
      </c>
      <c r="N148" s="3">
        <v>-1273000</v>
      </c>
      <c r="O148" s="4">
        <v>-1294000</v>
      </c>
      <c r="P148" s="3">
        <v>-21000</v>
      </c>
      <c r="Q148" s="3">
        <v>-671000</v>
      </c>
      <c r="R148" s="3">
        <v>-364000</v>
      </c>
      <c r="S148" s="3">
        <v>-238000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-95778</v>
      </c>
      <c r="C150" s="3">
        <v>239000</v>
      </c>
      <c r="D150" s="3">
        <v>-365000</v>
      </c>
      <c r="E150" s="3">
        <v>199000</v>
      </c>
      <c r="F150" s="3">
        <v>-1028000</v>
      </c>
      <c r="G150" s="3">
        <v>376000</v>
      </c>
      <c r="H150" s="3">
        <v>-139000</v>
      </c>
      <c r="I150" s="3">
        <v>-635000</v>
      </c>
      <c r="J150" s="3">
        <v>-522000</v>
      </c>
      <c r="K150" s="3">
        <v>1182000</v>
      </c>
      <c r="L150" s="3">
        <v>-75000</v>
      </c>
      <c r="M150" s="3">
        <v>-422000</v>
      </c>
      <c r="N150" s="3">
        <v>691000</v>
      </c>
      <c r="O150" s="4">
        <v>1055000</v>
      </c>
      <c r="P150" s="3">
        <v>-241000</v>
      </c>
      <c r="Q150" s="3">
        <v>1829000</v>
      </c>
      <c r="R150" s="3">
        <v>21000</v>
      </c>
      <c r="S150" s="3">
        <v>-554000</v>
      </c>
    </row>
    <row r="151" spans="1:19" ht="16" x14ac:dyDescent="0.2">
      <c r="A151" s="2" t="s">
        <v>153</v>
      </c>
      <c r="B151" s="3">
        <v>27384</v>
      </c>
      <c r="C151" s="3">
        <v>1137000</v>
      </c>
      <c r="D151" s="3">
        <v>-248000</v>
      </c>
      <c r="E151" s="3">
        <v>65000</v>
      </c>
      <c r="F151" s="3">
        <v>1040000</v>
      </c>
      <c r="G151" s="3">
        <v>1232000</v>
      </c>
      <c r="H151" s="3">
        <v>1038000</v>
      </c>
      <c r="I151" s="3">
        <v>1429000</v>
      </c>
      <c r="J151" s="3">
        <v>1399000</v>
      </c>
      <c r="K151" s="3">
        <v>1675000</v>
      </c>
      <c r="L151" s="3">
        <v>3120000</v>
      </c>
      <c r="M151" s="3">
        <v>2883000</v>
      </c>
      <c r="N151" s="3">
        <v>2655000</v>
      </c>
      <c r="O151" s="4">
        <v>2940000</v>
      </c>
      <c r="P151" s="3">
        <v>2302000</v>
      </c>
      <c r="Q151" s="3">
        <v>4757000</v>
      </c>
      <c r="R151" s="3">
        <v>46000</v>
      </c>
      <c r="S151" s="3">
        <v>-4165000</v>
      </c>
    </row>
    <row r="152" spans="1:19" ht="16" x14ac:dyDescent="0.2">
      <c r="A152" s="2" t="s">
        <v>154</v>
      </c>
      <c r="B152" s="3" t="s">
        <v>24</v>
      </c>
      <c r="C152" s="3">
        <v>2322000</v>
      </c>
      <c r="D152" s="3">
        <v>891000</v>
      </c>
      <c r="E152" s="3">
        <v>-1331000</v>
      </c>
      <c r="F152" s="3">
        <v>3149000</v>
      </c>
      <c r="G152" s="3">
        <v>3164000</v>
      </c>
      <c r="H152" s="3">
        <v>2071000</v>
      </c>
      <c r="I152" s="3">
        <v>1036000</v>
      </c>
      <c r="J152" s="3">
        <v>1567000</v>
      </c>
      <c r="K152" s="3">
        <v>234000</v>
      </c>
      <c r="L152" s="3">
        <v>1925000</v>
      </c>
      <c r="M152" s="3">
        <v>10179000</v>
      </c>
      <c r="N152" s="3">
        <v>-349000</v>
      </c>
      <c r="O152" s="4">
        <v>-825000</v>
      </c>
      <c r="P152" s="3">
        <v>-3670000</v>
      </c>
      <c r="Q152" s="3">
        <v>-3300000</v>
      </c>
      <c r="R152" s="3">
        <v>8779000</v>
      </c>
      <c r="S152" s="3">
        <v>-2634000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6265651</v>
      </c>
      <c r="C154" s="3">
        <v>9100000</v>
      </c>
      <c r="D154" s="3">
        <v>8707000</v>
      </c>
      <c r="E154" s="3">
        <v>8328000</v>
      </c>
      <c r="F154" s="3">
        <v>12502000</v>
      </c>
      <c r="G154" s="3">
        <v>17107000</v>
      </c>
      <c r="H154" s="3">
        <v>15740000</v>
      </c>
      <c r="I154" s="3">
        <v>16483000</v>
      </c>
      <c r="J154" s="3">
        <v>22590000</v>
      </c>
      <c r="K154" s="3">
        <v>21413000</v>
      </c>
      <c r="L154" s="3">
        <v>26013000</v>
      </c>
      <c r="M154" s="3">
        <v>46456000</v>
      </c>
      <c r="N154" s="3">
        <v>33680000</v>
      </c>
      <c r="O154" s="4">
        <v>32762000</v>
      </c>
      <c r="P154" s="3">
        <v>7136000</v>
      </c>
      <c r="Q154" s="3">
        <v>9217000</v>
      </c>
      <c r="R154" s="3">
        <v>16825000</v>
      </c>
      <c r="S154" s="3">
        <v>-416000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v>6000</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v>6000</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-980540</v>
      </c>
      <c r="C159" s="3">
        <v>-2426000</v>
      </c>
      <c r="D159" s="3">
        <v>-1346000</v>
      </c>
      <c r="E159" s="3">
        <v>-477000</v>
      </c>
      <c r="F159" s="3">
        <v>-1582000</v>
      </c>
      <c r="G159" s="3">
        <v>-940000</v>
      </c>
      <c r="H159" s="3">
        <v>-415000</v>
      </c>
      <c r="I159" s="3">
        <v>-1165000</v>
      </c>
      <c r="J159" s="3">
        <v>-549000</v>
      </c>
      <c r="K159" s="3">
        <v>-4852000</v>
      </c>
      <c r="L159" s="3">
        <v>-1034000</v>
      </c>
      <c r="M159" s="3">
        <v>-1395000</v>
      </c>
      <c r="N159" s="3">
        <v>-1443000</v>
      </c>
      <c r="O159" s="4">
        <v>-2274000</v>
      </c>
      <c r="P159" s="3">
        <v>-748000</v>
      </c>
      <c r="Q159" s="3">
        <v>-45000</v>
      </c>
      <c r="R159" s="3">
        <v>-456000</v>
      </c>
      <c r="S159" s="3">
        <v>-1025000</v>
      </c>
    </row>
    <row r="160" spans="1:19" ht="16" x14ac:dyDescent="0.2">
      <c r="A160" s="2" t="s">
        <v>162</v>
      </c>
      <c r="B160" s="3">
        <v>-980540</v>
      </c>
      <c r="C160" s="3">
        <v>-2426000</v>
      </c>
      <c r="D160" s="3">
        <v>-1346000</v>
      </c>
      <c r="E160" s="3">
        <v>-477000</v>
      </c>
      <c r="F160" s="3">
        <v>-1582000</v>
      </c>
      <c r="G160" s="3">
        <v>-940000</v>
      </c>
      <c r="H160" s="3">
        <v>-415000</v>
      </c>
      <c r="I160" s="3">
        <v>-1065000</v>
      </c>
      <c r="J160" s="3">
        <v>-549000</v>
      </c>
      <c r="K160" s="3">
        <v>-4852000</v>
      </c>
      <c r="L160" s="3">
        <v>-1034000</v>
      </c>
      <c r="M160" s="3">
        <v>-1395000</v>
      </c>
      <c r="N160" s="3">
        <v>-1443000</v>
      </c>
      <c r="O160" s="4">
        <v>-2274000</v>
      </c>
      <c r="P160" s="3">
        <v>-748000</v>
      </c>
      <c r="Q160" s="3">
        <v>-45000</v>
      </c>
      <c r="R160" s="3">
        <v>-456000</v>
      </c>
      <c r="S160" s="3">
        <v>-1025000</v>
      </c>
    </row>
    <row r="161" spans="1:19" ht="16" x14ac:dyDescent="0.2">
      <c r="A161" s="2" t="s">
        <v>163</v>
      </c>
      <c r="B161" s="3" t="s">
        <v>24</v>
      </c>
      <c r="C161" s="3" t="s">
        <v>24</v>
      </c>
      <c r="D161" s="3" t="s">
        <v>24</v>
      </c>
      <c r="E161" s="3" t="s">
        <v>24</v>
      </c>
      <c r="F161" s="3" t="s">
        <v>24</v>
      </c>
      <c r="G161" s="3" t="s">
        <v>24</v>
      </c>
      <c r="H161" s="3" t="s">
        <v>24</v>
      </c>
      <c r="I161" s="3">
        <v>-100000</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-92000</v>
      </c>
      <c r="C162" s="3">
        <v>-1303000</v>
      </c>
      <c r="D162" s="3">
        <v>1297000</v>
      </c>
      <c r="E162" s="3" t="s">
        <v>24</v>
      </c>
      <c r="F162" s="3" t="s">
        <v>24</v>
      </c>
      <c r="G162" s="3" t="s">
        <v>24</v>
      </c>
      <c r="H162" s="3" t="s">
        <v>24</v>
      </c>
      <c r="I162" s="3" t="s">
        <v>24</v>
      </c>
      <c r="J162" s="3" t="s">
        <v>24</v>
      </c>
      <c r="K162" s="3" t="s">
        <v>24</v>
      </c>
      <c r="L162" s="3" t="s">
        <v>24</v>
      </c>
      <c r="M162" s="3" t="s">
        <v>24</v>
      </c>
      <c r="N162" s="3" t="s">
        <v>24</v>
      </c>
      <c r="O162" s="4" t="s">
        <v>24</v>
      </c>
      <c r="P162" s="3" t="s">
        <v>24</v>
      </c>
      <c r="Q162" s="3" t="s">
        <v>24</v>
      </c>
      <c r="R162" s="3" t="s">
        <v>24</v>
      </c>
      <c r="S162" s="3" t="s">
        <v>24</v>
      </c>
    </row>
    <row r="163" spans="1:19" ht="16" x14ac:dyDescent="0.2">
      <c r="A163" s="2" t="s">
        <v>165</v>
      </c>
      <c r="B163" s="3" t="s">
        <v>24</v>
      </c>
      <c r="C163" s="3">
        <v>1802000</v>
      </c>
      <c r="D163" s="3">
        <v>1297000</v>
      </c>
      <c r="E163" s="3" t="s">
        <v>24</v>
      </c>
      <c r="F163" s="3" t="s">
        <v>24</v>
      </c>
      <c r="G163" s="3" t="s">
        <v>24</v>
      </c>
      <c r="H163" s="3" t="s">
        <v>24</v>
      </c>
      <c r="I163" s="3" t="s">
        <v>24</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v>-92000</v>
      </c>
      <c r="C164" s="3">
        <v>-3105000</v>
      </c>
      <c r="D164" s="3" t="s">
        <v>24</v>
      </c>
      <c r="E164" s="3" t="s">
        <v>24</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t="s">
        <v>24</v>
      </c>
      <c r="C165" s="3" t="s">
        <v>24</v>
      </c>
      <c r="D165" s="3" t="s">
        <v>24</v>
      </c>
      <c r="E165" s="3" t="s">
        <v>24</v>
      </c>
      <c r="F165" s="3" t="s">
        <v>24</v>
      </c>
      <c r="G165" s="3" t="s">
        <v>24</v>
      </c>
      <c r="H165" s="3" t="s">
        <v>24</v>
      </c>
      <c r="I165" s="3" t="s">
        <v>24</v>
      </c>
      <c r="J165" s="3" t="s">
        <v>24</v>
      </c>
      <c r="K165" s="3">
        <v>-664000</v>
      </c>
      <c r="L165" s="3" t="s">
        <v>24</v>
      </c>
      <c r="M165" s="3" t="s">
        <v>24</v>
      </c>
      <c r="N165" s="3">
        <v>-14950000</v>
      </c>
      <c r="O165" s="4">
        <v>-3333000</v>
      </c>
      <c r="P165" s="3" t="s">
        <v>24</v>
      </c>
      <c r="Q165" s="3" t="s">
        <v>24</v>
      </c>
      <c r="R165" s="3">
        <v>-3333000</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t="s">
        <v>24</v>
      </c>
      <c r="G167" s="3" t="s">
        <v>24</v>
      </c>
      <c r="H167" s="3" t="s">
        <v>24</v>
      </c>
      <c r="I167" s="3" t="s">
        <v>24</v>
      </c>
      <c r="J167" s="3" t="s">
        <v>24</v>
      </c>
      <c r="K167" s="3">
        <v>-664000</v>
      </c>
      <c r="L167" s="3" t="s">
        <v>24</v>
      </c>
      <c r="M167" s="3" t="s">
        <v>24</v>
      </c>
      <c r="N167" s="3">
        <v>-14950000</v>
      </c>
      <c r="O167" s="4">
        <v>-3333000</v>
      </c>
      <c r="P167" s="3" t="s">
        <v>24</v>
      </c>
      <c r="Q167" s="3" t="s">
        <v>24</v>
      </c>
      <c r="R167" s="3">
        <v>-3333000</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98</v>
      </c>
      <c r="C169" s="3">
        <v>-28000</v>
      </c>
      <c r="D169" s="3" t="s">
        <v>24</v>
      </c>
      <c r="E169" s="3">
        <v>-1000</v>
      </c>
      <c r="F169" s="3" t="s">
        <v>24</v>
      </c>
      <c r="G169" s="3" t="s">
        <v>24</v>
      </c>
      <c r="H169" s="3" t="s">
        <v>24</v>
      </c>
      <c r="I169" s="3" t="s">
        <v>24</v>
      </c>
      <c r="J169" s="3" t="s">
        <v>24</v>
      </c>
      <c r="K169" s="3" t="s">
        <v>24</v>
      </c>
      <c r="L169" s="3" t="s">
        <v>24</v>
      </c>
      <c r="M169" s="3" t="s">
        <v>24</v>
      </c>
      <c r="N169" s="3" t="s">
        <v>24</v>
      </c>
      <c r="O169" s="4">
        <v>-11617000</v>
      </c>
      <c r="P169" s="3">
        <v>-11617000</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-1072442</v>
      </c>
      <c r="C171" s="3">
        <v>-3757000</v>
      </c>
      <c r="D171" s="3">
        <v>-49000</v>
      </c>
      <c r="E171" s="3">
        <v>-472000</v>
      </c>
      <c r="F171" s="3">
        <v>-1582000</v>
      </c>
      <c r="G171" s="3">
        <v>-940000</v>
      </c>
      <c r="H171" s="3">
        <v>-415000</v>
      </c>
      <c r="I171" s="3">
        <v>-1165000</v>
      </c>
      <c r="J171" s="3">
        <v>-549000</v>
      </c>
      <c r="K171" s="3">
        <v>-5516000</v>
      </c>
      <c r="L171" s="3">
        <v>-1034000</v>
      </c>
      <c r="M171" s="3">
        <v>-1395000</v>
      </c>
      <c r="N171" s="3">
        <v>-16393000</v>
      </c>
      <c r="O171" s="4">
        <v>-17224000</v>
      </c>
      <c r="P171" s="3">
        <v>-12365000</v>
      </c>
      <c r="Q171" s="3">
        <v>-45000</v>
      </c>
      <c r="R171" s="3">
        <v>-3789000</v>
      </c>
      <c r="S171" s="3">
        <v>-1025000</v>
      </c>
    </row>
    <row r="172" spans="1:19" ht="16" x14ac:dyDescent="0.2">
      <c r="A172" s="2" t="s">
        <v>173</v>
      </c>
      <c r="B172" s="3">
        <v>-1580869</v>
      </c>
      <c r="C172" s="3">
        <v>-1671000</v>
      </c>
      <c r="D172" s="3">
        <v>-5221000</v>
      </c>
      <c r="E172" s="3">
        <v>-2611000</v>
      </c>
      <c r="F172" s="3">
        <v>-9109000</v>
      </c>
      <c r="G172" s="3">
        <v>-12094000</v>
      </c>
      <c r="H172" s="3">
        <v>-13059000</v>
      </c>
      <c r="I172" s="3">
        <v>-13262000</v>
      </c>
      <c r="J172" s="3">
        <v>-14195000</v>
      </c>
      <c r="K172" s="3">
        <v>-14560000</v>
      </c>
      <c r="L172" s="3">
        <v>-14610000</v>
      </c>
      <c r="M172" s="3">
        <v>-25459000</v>
      </c>
      <c r="N172" s="3">
        <v>-26355000</v>
      </c>
      <c r="O172" s="4">
        <v>-26367000</v>
      </c>
      <c r="P172" s="3">
        <v>-2135000</v>
      </c>
      <c r="Q172" s="3">
        <v>-2135000</v>
      </c>
      <c r="R172" s="3">
        <v>-19952000</v>
      </c>
      <c r="S172" s="3">
        <v>-2145000</v>
      </c>
    </row>
    <row r="173" spans="1:19" ht="16" x14ac:dyDescent="0.2">
      <c r="A173" s="2" t="s">
        <v>174</v>
      </c>
      <c r="B173" s="3">
        <v>-1939313</v>
      </c>
      <c r="C173" s="3">
        <v>-92000</v>
      </c>
      <c r="D173" s="3" t="s">
        <v>24</v>
      </c>
      <c r="E173" s="3" t="s">
        <v>24</v>
      </c>
      <c r="F173" s="3" t="s">
        <v>24</v>
      </c>
      <c r="G173" s="3" t="s">
        <v>24</v>
      </c>
      <c r="H173" s="3" t="s">
        <v>24</v>
      </c>
      <c r="I173" s="3" t="s">
        <v>24</v>
      </c>
      <c r="J173" s="3" t="s">
        <v>24</v>
      </c>
      <c r="K173" s="3" t="s">
        <v>24</v>
      </c>
      <c r="L173" s="3" t="s">
        <v>24</v>
      </c>
      <c r="M173" s="3" t="s">
        <v>24</v>
      </c>
      <c r="N173" s="3" t="s">
        <v>24</v>
      </c>
      <c r="O173" s="4">
        <v>0</v>
      </c>
      <c r="P173" s="3" t="s">
        <v>24</v>
      </c>
      <c r="Q173" s="3" t="s">
        <v>24</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ht="16" x14ac:dyDescent="0.2">
      <c r="A175" s="2" t="s">
        <v>176</v>
      </c>
      <c r="B175" s="3">
        <v>-1939313</v>
      </c>
      <c r="C175" s="3">
        <v>-92000</v>
      </c>
      <c r="D175" s="3" t="s">
        <v>24</v>
      </c>
      <c r="E175" s="3" t="s">
        <v>24</v>
      </c>
      <c r="F175" s="3" t="s">
        <v>24</v>
      </c>
      <c r="G175" s="3" t="s">
        <v>24</v>
      </c>
      <c r="H175" s="3" t="s">
        <v>24</v>
      </c>
      <c r="I175" s="3" t="s">
        <v>24</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v>-400208</v>
      </c>
      <c r="C176" s="3">
        <v>-132000</v>
      </c>
      <c r="D176" s="3">
        <v>-63000</v>
      </c>
      <c r="E176" s="3">
        <v>-26000</v>
      </c>
      <c r="F176" s="3">
        <v>-831000</v>
      </c>
      <c r="G176" s="3">
        <v>-817000</v>
      </c>
      <c r="H176" s="3">
        <v>-1713000</v>
      </c>
      <c r="I176" s="3">
        <v>-2176000</v>
      </c>
      <c r="J176" s="3">
        <v>-1047000</v>
      </c>
      <c r="K176" s="3">
        <v>-1390000</v>
      </c>
      <c r="L176" s="3">
        <v>-3520000</v>
      </c>
      <c r="M176" s="3">
        <v>-1521000</v>
      </c>
      <c r="N176" s="3">
        <v>-2775000</v>
      </c>
      <c r="O176" s="4">
        <v>-3440000</v>
      </c>
      <c r="P176" s="3">
        <v>-325000</v>
      </c>
      <c r="Q176" s="3">
        <v>60000</v>
      </c>
      <c r="R176" s="3">
        <v>719000</v>
      </c>
      <c r="S176" s="3">
        <v>-3894000</v>
      </c>
    </row>
    <row r="177" spans="1:19" ht="16" x14ac:dyDescent="0.2">
      <c r="A177" s="2" t="s">
        <v>178</v>
      </c>
      <c r="B177" s="3" t="s">
        <v>24</v>
      </c>
      <c r="C177" s="3" t="s">
        <v>24</v>
      </c>
      <c r="D177" s="3" t="s">
        <v>24</v>
      </c>
      <c r="E177" s="3" t="s">
        <v>24</v>
      </c>
      <c r="F177" s="3">
        <v>1000</v>
      </c>
      <c r="G177" s="3" t="s">
        <v>24</v>
      </c>
      <c r="H177" s="3">
        <v>1000</v>
      </c>
      <c r="I177" s="3" t="s">
        <v>24</v>
      </c>
      <c r="J177" s="3" t="s">
        <v>24</v>
      </c>
      <c r="K177" s="3" t="s">
        <v>24</v>
      </c>
      <c r="L177" s="3" t="s">
        <v>24</v>
      </c>
      <c r="M177" s="3">
        <v>1000</v>
      </c>
      <c r="N177" s="3">
        <v>1000</v>
      </c>
      <c r="O177" s="4" t="s">
        <v>24</v>
      </c>
      <c r="P177" s="3" t="s">
        <v>24</v>
      </c>
      <c r="Q177" s="3" t="s">
        <v>24</v>
      </c>
      <c r="R177" s="3" t="s">
        <v>24</v>
      </c>
      <c r="S177" s="3" t="s">
        <v>24</v>
      </c>
    </row>
    <row r="178" spans="1:19" ht="16" x14ac:dyDescent="0.2">
      <c r="A178" s="2" t="s">
        <v>179</v>
      </c>
      <c r="B178" s="3">
        <v>-400208</v>
      </c>
      <c r="C178" s="3">
        <v>-132000</v>
      </c>
      <c r="D178" s="3">
        <v>-63000</v>
      </c>
      <c r="E178" s="3">
        <v>-26000</v>
      </c>
      <c r="F178" s="3">
        <v>-832000</v>
      </c>
      <c r="G178" s="3">
        <v>-817000</v>
      </c>
      <c r="H178" s="3">
        <v>-1714000</v>
      </c>
      <c r="I178" s="3">
        <v>-2176000</v>
      </c>
      <c r="J178" s="3">
        <v>-1047000</v>
      </c>
      <c r="K178" s="3">
        <v>-1390000</v>
      </c>
      <c r="L178" s="3">
        <v>-3520000</v>
      </c>
      <c r="M178" s="3">
        <v>-1522000</v>
      </c>
      <c r="N178" s="3">
        <v>-2776000</v>
      </c>
      <c r="O178" s="4">
        <v>-3440000</v>
      </c>
      <c r="P178" s="3">
        <v>-325000</v>
      </c>
      <c r="Q178" s="3">
        <v>60000</v>
      </c>
      <c r="R178" s="3">
        <v>719000</v>
      </c>
      <c r="S178" s="3">
        <v>-3894000</v>
      </c>
    </row>
    <row r="179" spans="1:19" ht="16" x14ac:dyDescent="0.2">
      <c r="A179" s="2" t="s">
        <v>180</v>
      </c>
      <c r="B179" s="3">
        <v>45218</v>
      </c>
      <c r="C179" s="3">
        <v>19000</v>
      </c>
      <c r="D179" s="3">
        <v>67000</v>
      </c>
      <c r="E179" s="3">
        <v>106000</v>
      </c>
      <c r="F179" s="3">
        <v>356000</v>
      </c>
      <c r="G179" s="3">
        <v>397000</v>
      </c>
      <c r="H179" s="3">
        <v>556000</v>
      </c>
      <c r="I179" s="3">
        <v>-749000</v>
      </c>
      <c r="J179" s="3">
        <v>-640000</v>
      </c>
      <c r="K179" s="3">
        <v>-703000</v>
      </c>
      <c r="L179" s="3">
        <v>-1330000</v>
      </c>
      <c r="M179" s="3">
        <v>-1420000</v>
      </c>
      <c r="N179" s="3">
        <v>-1179000</v>
      </c>
      <c r="O179" s="4">
        <v>-1178000</v>
      </c>
      <c r="P179" s="3" t="s">
        <v>24</v>
      </c>
      <c r="Q179" s="3" t="s">
        <v>24</v>
      </c>
      <c r="R179" s="3">
        <v>-1178000</v>
      </c>
      <c r="S179" s="3" t="s">
        <v>24</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-3875172</v>
      </c>
      <c r="C181" s="3">
        <v>-1876000</v>
      </c>
      <c r="D181" s="3">
        <v>-5217000</v>
      </c>
      <c r="E181" s="3">
        <v>-2531000</v>
      </c>
      <c r="F181" s="3">
        <v>-9584000</v>
      </c>
      <c r="G181" s="3">
        <v>-12514000</v>
      </c>
      <c r="H181" s="3">
        <v>-14216000</v>
      </c>
      <c r="I181" s="3">
        <v>-16187000</v>
      </c>
      <c r="J181" s="3">
        <v>-15882000</v>
      </c>
      <c r="K181" s="3">
        <v>-16653000</v>
      </c>
      <c r="L181" s="3">
        <v>-19460000</v>
      </c>
      <c r="M181" s="3">
        <v>-28400000</v>
      </c>
      <c r="N181" s="3">
        <v>-30309000</v>
      </c>
      <c r="O181" s="4">
        <v>-30985000</v>
      </c>
      <c r="P181" s="3">
        <v>-2460000</v>
      </c>
      <c r="Q181" s="3">
        <v>-2075000</v>
      </c>
      <c r="R181" s="3">
        <v>-20411000</v>
      </c>
      <c r="S181" s="3">
        <v>-6039000</v>
      </c>
    </row>
    <row r="182" spans="1:1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9" ht="16" x14ac:dyDescent="0.2">
      <c r="A183" s="2" t="s">
        <v>183</v>
      </c>
      <c r="B183" s="3">
        <v>1318037</v>
      </c>
      <c r="C183" s="3">
        <v>3467000</v>
      </c>
      <c r="D183" s="3">
        <v>3441000</v>
      </c>
      <c r="E183" s="3">
        <v>5325000</v>
      </c>
      <c r="F183" s="3">
        <v>1336000</v>
      </c>
      <c r="G183" s="3">
        <v>3653000</v>
      </c>
      <c r="H183" s="3">
        <v>1109000</v>
      </c>
      <c r="I183" s="3">
        <v>-869000</v>
      </c>
      <c r="J183" s="3">
        <v>6159000</v>
      </c>
      <c r="K183" s="3">
        <v>-756000</v>
      </c>
      <c r="L183" s="3">
        <v>5519000</v>
      </c>
      <c r="M183" s="3">
        <v>16661000</v>
      </c>
      <c r="N183" s="3">
        <v>-13022000</v>
      </c>
      <c r="O183" s="4">
        <v>-15447000</v>
      </c>
      <c r="P183" s="3">
        <v>-7689000</v>
      </c>
      <c r="Q183" s="3">
        <v>7097000</v>
      </c>
      <c r="R183" s="3">
        <v>-7375000</v>
      </c>
      <c r="S183" s="3">
        <v>-7480000</v>
      </c>
    </row>
    <row r="184" spans="1:19" ht="16" x14ac:dyDescent="0.2">
      <c r="A184" s="2" t="s">
        <v>54</v>
      </c>
      <c r="B184" s="3">
        <v>6078768</v>
      </c>
      <c r="C184" s="3">
        <v>8464000</v>
      </c>
      <c r="D184" s="3">
        <v>10578000</v>
      </c>
      <c r="E184" s="3">
        <v>9940000</v>
      </c>
      <c r="F184" s="3">
        <v>14445000</v>
      </c>
      <c r="G184" s="3">
        <v>18558000</v>
      </c>
      <c r="H184" s="3">
        <v>18533000</v>
      </c>
      <c r="I184" s="3">
        <v>19665000</v>
      </c>
      <c r="J184" s="3">
        <v>20687000</v>
      </c>
      <c r="K184" s="3">
        <v>19374000</v>
      </c>
      <c r="L184" s="3">
        <v>23195000</v>
      </c>
      <c r="M184" s="3">
        <v>39812000</v>
      </c>
      <c r="N184" s="3">
        <v>38913000</v>
      </c>
      <c r="O184" s="4">
        <v>37402000</v>
      </c>
      <c r="P184" s="3">
        <v>9758000</v>
      </c>
      <c r="Q184" s="3">
        <v>9593000</v>
      </c>
      <c r="R184" s="3">
        <v>10478000</v>
      </c>
      <c r="S184" s="3">
        <v>7573000</v>
      </c>
    </row>
    <row r="185" spans="1:19" ht="16" x14ac:dyDescent="0.2">
      <c r="A185" s="2" t="s">
        <v>55</v>
      </c>
      <c r="B185" s="5">
        <v>21.73</v>
      </c>
      <c r="C185" s="5">
        <v>25.66</v>
      </c>
      <c r="D185" s="5">
        <v>31.88</v>
      </c>
      <c r="E185" s="5">
        <v>29.55</v>
      </c>
      <c r="F185" s="5">
        <v>36.270000000000003</v>
      </c>
      <c r="G185" s="5">
        <v>39.04</v>
      </c>
      <c r="H185" s="5">
        <v>38.159999999999997</v>
      </c>
      <c r="I185" s="5">
        <v>37.69</v>
      </c>
      <c r="J185" s="5">
        <v>36.4</v>
      </c>
      <c r="K185" s="5">
        <v>32.1</v>
      </c>
      <c r="L185" s="5">
        <v>33.9</v>
      </c>
      <c r="M185" s="5">
        <v>39.85</v>
      </c>
      <c r="N185" s="5">
        <v>37.01</v>
      </c>
      <c r="O185" s="6">
        <v>35.39</v>
      </c>
      <c r="P185" s="5">
        <v>40.11</v>
      </c>
      <c r="Q185" s="5">
        <v>39.32</v>
      </c>
      <c r="R185" s="5">
        <v>37.85</v>
      </c>
      <c r="S185" s="5">
        <v>35.39</v>
      </c>
    </row>
    <row r="186" spans="1:19" ht="16" x14ac:dyDescent="0.2">
      <c r="A186" s="2" t="s">
        <v>184</v>
      </c>
      <c r="B186" s="3" t="s">
        <v>24</v>
      </c>
      <c r="C186" s="3" t="s">
        <v>24</v>
      </c>
      <c r="D186" s="3" t="s">
        <v>24</v>
      </c>
      <c r="E186" s="3" t="s">
        <v>24</v>
      </c>
      <c r="F186" s="3" t="s">
        <v>24</v>
      </c>
      <c r="G186" s="3" t="s">
        <v>24</v>
      </c>
      <c r="H186" s="3" t="s">
        <v>24</v>
      </c>
      <c r="I186" s="3" t="s">
        <v>24</v>
      </c>
      <c r="J186" s="3" t="s">
        <v>24</v>
      </c>
      <c r="K186" s="3">
        <v>664000</v>
      </c>
      <c r="L186" s="3" t="s">
        <v>24</v>
      </c>
      <c r="M186" s="3" t="s">
        <v>24</v>
      </c>
      <c r="N186" s="3">
        <v>14950000</v>
      </c>
      <c r="O186" s="4">
        <v>3333000</v>
      </c>
      <c r="P186" s="3" t="s">
        <v>24</v>
      </c>
      <c r="Q186" s="3" t="s">
        <v>24</v>
      </c>
      <c r="R186" s="3">
        <v>3333000</v>
      </c>
      <c r="S186" s="3" t="s">
        <v>24</v>
      </c>
    </row>
    <row r="187" spans="1:19" ht="16" x14ac:dyDescent="0.2">
      <c r="A187" s="2" t="s">
        <v>185</v>
      </c>
      <c r="B187" s="3">
        <v>5285111</v>
      </c>
      <c r="C187" s="3">
        <v>6674000</v>
      </c>
      <c r="D187" s="3">
        <v>7361000</v>
      </c>
      <c r="E187" s="3">
        <v>7851000</v>
      </c>
      <c r="F187" s="3">
        <v>10920000</v>
      </c>
      <c r="G187" s="3">
        <v>16167000</v>
      </c>
      <c r="H187" s="3">
        <v>15325000</v>
      </c>
      <c r="I187" s="3">
        <v>15318000</v>
      </c>
      <c r="J187" s="3">
        <v>22041000</v>
      </c>
      <c r="K187" s="3">
        <v>16561000</v>
      </c>
      <c r="L187" s="3">
        <v>24979000</v>
      </c>
      <c r="M187" s="3">
        <v>45061000</v>
      </c>
      <c r="N187" s="3">
        <v>32237000</v>
      </c>
      <c r="O187" s="4">
        <v>30488000</v>
      </c>
      <c r="P187" s="3">
        <v>6388000</v>
      </c>
      <c r="Q187" s="3">
        <v>9172000</v>
      </c>
      <c r="R187" s="3">
        <v>16369000</v>
      </c>
      <c r="S187" s="3">
        <v>-1441000</v>
      </c>
    </row>
    <row r="188" spans="1:19" ht="16" x14ac:dyDescent="0.2">
      <c r="A188" s="28" t="s">
        <v>186</v>
      </c>
      <c r="B188" s="26">
        <v>5235825</v>
      </c>
      <c r="C188" s="26">
        <v>6674000</v>
      </c>
      <c r="D188" s="26">
        <v>7361000</v>
      </c>
      <c r="E188" s="26">
        <v>7851000</v>
      </c>
      <c r="F188" s="26">
        <v>10920000</v>
      </c>
      <c r="G188" s="26">
        <v>16167000</v>
      </c>
      <c r="H188" s="26">
        <v>15325000</v>
      </c>
      <c r="I188" s="26">
        <v>15318000</v>
      </c>
      <c r="J188" s="26">
        <v>22041000</v>
      </c>
      <c r="K188" s="26">
        <v>16561000</v>
      </c>
      <c r="L188" s="26">
        <v>24979000</v>
      </c>
      <c r="M188" s="26">
        <v>45061000</v>
      </c>
      <c r="N188" s="26">
        <v>32237000</v>
      </c>
      <c r="O188" s="27">
        <v>30488000</v>
      </c>
      <c r="P188" s="26">
        <v>6388000</v>
      </c>
      <c r="Q188" s="26">
        <v>9172000</v>
      </c>
      <c r="R188" s="26">
        <v>16369000</v>
      </c>
      <c r="S188" s="26">
        <v>-1441000</v>
      </c>
    </row>
    <row r="189" spans="1:19" ht="16" x14ac:dyDescent="0.2">
      <c r="A189" s="20" t="s">
        <v>200</v>
      </c>
      <c r="B189" s="21"/>
      <c r="C189" s="22">
        <f>(C188/B188)-1</f>
        <v>0.27467973051047356</v>
      </c>
      <c r="D189" s="22">
        <f>(D188/C188)-1</f>
        <v>0.10293676955349107</v>
      </c>
      <c r="E189" s="22">
        <f>(E188/D188)-1</f>
        <v>6.6567042521396447E-2</v>
      </c>
      <c r="F189" s="22">
        <f t="shared" ref="F189:N189" si="4">(F188/E188)-1</f>
        <v>0.39090561711883831</v>
      </c>
      <c r="G189" s="22">
        <f t="shared" si="4"/>
        <v>0.48049450549450556</v>
      </c>
      <c r="H189" s="22">
        <f t="shared" si="4"/>
        <v>-5.2081400383497289E-2</v>
      </c>
      <c r="I189" s="22">
        <f t="shared" si="4"/>
        <v>-4.567699836868222E-4</v>
      </c>
      <c r="J189" s="22">
        <f t="shared" si="4"/>
        <v>0.43889541715628666</v>
      </c>
      <c r="K189" s="22">
        <f t="shared" si="4"/>
        <v>-0.24862755773331513</v>
      </c>
      <c r="L189" s="22">
        <f t="shared" si="4"/>
        <v>0.50830263872954529</v>
      </c>
      <c r="M189" s="22">
        <f t="shared" si="4"/>
        <v>0.80395532247087553</v>
      </c>
      <c r="N189" s="22">
        <f t="shared" si="4"/>
        <v>-0.28459199751448039</v>
      </c>
      <c r="O189" s="22">
        <f>(O188/N188)-1</f>
        <v>-5.4254428141576438E-2</v>
      </c>
      <c r="P189" s="22"/>
      <c r="Q189" s="22">
        <f>(Q188/P188)-1</f>
        <v>0.43581715716969316</v>
      </c>
      <c r="R189" s="22">
        <f>(R188/Q188)-1</f>
        <v>0.78467073702573042</v>
      </c>
      <c r="S189" s="22">
        <f>(S188/R188)-1</f>
        <v>-1.088032256093836</v>
      </c>
    </row>
    <row r="190" spans="1:19" ht="16" x14ac:dyDescent="0.2">
      <c r="A190" s="23" t="s">
        <v>201</v>
      </c>
      <c r="B190" s="24">
        <f>B188/B2</f>
        <v>0.18719432203054423</v>
      </c>
      <c r="C190" s="24">
        <f>C188/C2</f>
        <v>0.20230372840254623</v>
      </c>
      <c r="D190" s="24">
        <f>D188/D2</f>
        <v>0.22182377049180327</v>
      </c>
      <c r="E190" s="24">
        <f>E188/E2</f>
        <v>0.23338287752675385</v>
      </c>
      <c r="F190" s="24">
        <f>F188/F2</f>
        <v>0.27418585381776184</v>
      </c>
      <c r="G190" s="24">
        <f>G188/G2</f>
        <v>0.34014306753629286</v>
      </c>
      <c r="H190" s="24">
        <f>H188/H2</f>
        <v>0.31555647070935861</v>
      </c>
      <c r="I190" s="24">
        <f>I188/I2</f>
        <v>0.29358325666973323</v>
      </c>
      <c r="J190" s="24">
        <f>J188/J2</f>
        <v>0.38784092908674994</v>
      </c>
      <c r="K190" s="24">
        <f>K188/K2</f>
        <v>0.27441590720795361</v>
      </c>
      <c r="L190" s="24">
        <f>L188/L2</f>
        <v>0.3650886449670413</v>
      </c>
      <c r="M190" s="24">
        <f>M188/M2</f>
        <v>0.45101140014613006</v>
      </c>
      <c r="N190" s="24">
        <f>N188/N2</f>
        <v>0.30658399033752104</v>
      </c>
      <c r="O190" s="25">
        <f>O188/O2</f>
        <v>0.28851540616246496</v>
      </c>
      <c r="P190" s="24">
        <f>P188/P2</f>
        <v>0.25340156293387284</v>
      </c>
      <c r="Q190" s="24">
        <f>Q188/Q2</f>
        <v>0.36482240165466767</v>
      </c>
      <c r="R190" s="24">
        <f>R188/R2</f>
        <v>0.59970690602674481</v>
      </c>
      <c r="S190" s="24">
        <f>S188/S2</f>
        <v>-5.1414707246583653E-2</v>
      </c>
    </row>
    <row r="191" spans="1:19" ht="16" x14ac:dyDescent="0.2">
      <c r="A191" s="2" t="s">
        <v>187</v>
      </c>
      <c r="B191" s="3">
        <v>3345798</v>
      </c>
      <c r="C191" s="3">
        <v>6582000</v>
      </c>
      <c r="D191" s="3">
        <v>7248000</v>
      </c>
      <c r="E191" s="3">
        <v>7779000</v>
      </c>
      <c r="F191" s="3">
        <v>10629000</v>
      </c>
      <c r="G191" s="3">
        <v>16167000</v>
      </c>
      <c r="H191" s="3">
        <v>15325000</v>
      </c>
      <c r="I191" s="3">
        <v>15418000</v>
      </c>
      <c r="J191" s="3">
        <v>22041000</v>
      </c>
      <c r="K191" s="3">
        <v>16561000</v>
      </c>
      <c r="L191" s="3">
        <v>24979000</v>
      </c>
      <c r="M191" s="3">
        <v>45061000</v>
      </c>
      <c r="N191" s="3">
        <v>32237000</v>
      </c>
      <c r="O191" s="4">
        <v>30488000</v>
      </c>
      <c r="P191" s="3">
        <v>6388000</v>
      </c>
      <c r="Q191" s="3">
        <v>9172000</v>
      </c>
      <c r="R191" s="3">
        <v>16369000</v>
      </c>
      <c r="S191" s="3">
        <v>-1441000</v>
      </c>
    </row>
    <row r="192" spans="1:19" ht="16" x14ac:dyDescent="0.2">
      <c r="A192" s="2" t="s">
        <v>188</v>
      </c>
      <c r="B192" s="5">
        <v>0.5</v>
      </c>
      <c r="C192" s="5">
        <v>0.63</v>
      </c>
      <c r="D192" s="5">
        <v>0.68</v>
      </c>
      <c r="E192" s="5">
        <v>0.71</v>
      </c>
      <c r="F192" s="5">
        <v>0.97</v>
      </c>
      <c r="G192" s="5">
        <v>1.42</v>
      </c>
      <c r="H192" s="5">
        <v>1.38</v>
      </c>
      <c r="I192" s="5">
        <v>1.37</v>
      </c>
      <c r="J192" s="5">
        <v>1.96</v>
      </c>
      <c r="K192" s="5">
        <v>1.46</v>
      </c>
      <c r="L192" s="5">
        <v>2.19</v>
      </c>
      <c r="M192" s="5">
        <v>3.92</v>
      </c>
      <c r="N192" s="5">
        <v>2.78</v>
      </c>
      <c r="O192" s="6">
        <v>2.63</v>
      </c>
      <c r="P192" s="5">
        <v>0.55000000000000004</v>
      </c>
      <c r="Q192" s="5">
        <v>0.79</v>
      </c>
      <c r="R192" s="5">
        <v>1.41</v>
      </c>
      <c r="S192" s="5">
        <v>-0.12</v>
      </c>
    </row>
    <row r="193" spans="1:19" ht="16" x14ac:dyDescent="0.2">
      <c r="A193" s="2" t="s">
        <v>189</v>
      </c>
      <c r="B193" s="5">
        <v>8.65</v>
      </c>
      <c r="C193" s="5">
        <v>4.93</v>
      </c>
      <c r="D193" s="5">
        <v>8.1300000000000008</v>
      </c>
      <c r="E193" s="5">
        <v>9.6999999999999993</v>
      </c>
      <c r="F193" s="5">
        <v>11.47</v>
      </c>
      <c r="G193" s="5">
        <v>10.31</v>
      </c>
      <c r="H193" s="5">
        <v>16.14</v>
      </c>
      <c r="I193" s="5">
        <v>19.04</v>
      </c>
      <c r="J193" s="5">
        <v>14.59</v>
      </c>
      <c r="K193" s="5">
        <v>15.6</v>
      </c>
      <c r="L193" s="5">
        <v>14.62</v>
      </c>
      <c r="M193" s="5">
        <v>14.59</v>
      </c>
      <c r="N193" s="5">
        <v>19.260000000000002</v>
      </c>
      <c r="O193" s="6">
        <v>19.149999999999999</v>
      </c>
      <c r="P193" s="3" t="s">
        <v>24</v>
      </c>
      <c r="Q193" s="3" t="s">
        <v>24</v>
      </c>
      <c r="R193" s="5">
        <v>19.37</v>
      </c>
      <c r="S193" s="5">
        <v>19.57</v>
      </c>
    </row>
    <row r="194" spans="1:19" ht="16" x14ac:dyDescent="0.2">
      <c r="A194" s="2" t="s">
        <v>190</v>
      </c>
      <c r="B194" s="5">
        <v>2.13</v>
      </c>
      <c r="C194" s="5">
        <v>1.88</v>
      </c>
      <c r="D194" s="5">
        <v>1.59</v>
      </c>
      <c r="E194" s="5">
        <v>1.48</v>
      </c>
      <c r="F194" s="5">
        <v>1.58</v>
      </c>
      <c r="G194" s="5">
        <v>1.67</v>
      </c>
      <c r="H194" s="5">
        <v>1.5</v>
      </c>
      <c r="I194" s="5">
        <v>1.31</v>
      </c>
      <c r="J194" s="5">
        <v>1.39</v>
      </c>
      <c r="K194" s="5">
        <v>1.43</v>
      </c>
      <c r="L194" s="5">
        <v>1.42</v>
      </c>
      <c r="M194" s="5">
        <v>1.52</v>
      </c>
      <c r="N194" s="5">
        <v>1.0900000000000001</v>
      </c>
      <c r="O194" s="6">
        <v>1.1100000000000001</v>
      </c>
      <c r="P194" s="5">
        <v>0.96</v>
      </c>
      <c r="Q194" s="5">
        <v>1.29</v>
      </c>
      <c r="R194" s="5">
        <v>1.95</v>
      </c>
      <c r="S194" s="5">
        <v>-7.0000000000000007E-2</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R1 A4:S7 A15:S16 A19:S33 A191:S195 A2:S2 A9:S11 A13 A37:S128 A130:S142 A144:S172 A174:S188 A173:N173 P173:S17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F90A7-6F39-2547-BCAB-B54F91B594C9}">
  <dimension ref="A1:P110"/>
  <sheetViews>
    <sheetView tabSelected="1" workbookViewId="0">
      <selection activeCell="G18" sqref="G18"/>
    </sheetView>
  </sheetViews>
  <sheetFormatPr baseColWidth="10" defaultRowHeight="15" x14ac:dyDescent="0.2"/>
  <cols>
    <col min="1" max="16" width="18.83203125" customWidth="1"/>
  </cols>
  <sheetData>
    <row r="1" spans="1:16" s="111" customFormat="1" ht="22" customHeight="1" x14ac:dyDescent="0.2">
      <c r="A1" s="110" t="e" vm="1">
        <v>#VALUE!</v>
      </c>
      <c r="B1" s="110"/>
      <c r="C1" s="110"/>
      <c r="D1" s="110"/>
      <c r="E1" s="110"/>
      <c r="F1" s="110"/>
      <c r="G1" s="110"/>
      <c r="H1" s="110"/>
      <c r="I1" s="110"/>
      <c r="J1" s="110"/>
      <c r="K1" s="110"/>
      <c r="L1" s="110"/>
      <c r="M1" s="110"/>
      <c r="N1" s="110"/>
      <c r="O1" s="110"/>
      <c r="P1" s="110"/>
    </row>
    <row r="2" spans="1:16" s="111" customFormat="1" ht="22" customHeight="1" x14ac:dyDescent="0.2">
      <c r="A2" s="110"/>
      <c r="B2" s="110"/>
      <c r="C2" s="110"/>
      <c r="D2" s="110"/>
      <c r="E2" s="110"/>
      <c r="F2" s="110"/>
      <c r="G2" s="110"/>
      <c r="H2" s="110"/>
      <c r="I2" s="110"/>
      <c r="J2" s="110"/>
      <c r="K2" s="110"/>
      <c r="L2" s="110"/>
      <c r="M2" s="110"/>
      <c r="N2" s="110"/>
      <c r="O2" s="110"/>
      <c r="P2" s="110"/>
    </row>
    <row r="3" spans="1:16" ht="22" customHeight="1" x14ac:dyDescent="0.2">
      <c r="A3" s="34" cm="1">
        <f t="array" ref="A3">_FV(A1,"Market cap",TRUE)</f>
        <v>685694605</v>
      </c>
      <c r="B3" s="35" t="s">
        <v>202</v>
      </c>
      <c r="C3" s="36">
        <f>Financials!O8*0.01</f>
        <v>0.55569999999999997</v>
      </c>
      <c r="D3" s="35" t="s">
        <v>203</v>
      </c>
      <c r="E3" s="36">
        <f>SUM(C11:E11)/3</f>
        <v>0.21547051911052351</v>
      </c>
      <c r="F3" s="37" t="s">
        <v>204</v>
      </c>
      <c r="G3" s="38">
        <f>AVERAGE(Financials!K129:O129)</f>
        <v>6.2446848527379032E-3</v>
      </c>
      <c r="H3" s="37" t="s">
        <v>205</v>
      </c>
      <c r="I3" s="39">
        <f>J14*(1+I7)/(I6-I7)</f>
        <v>866102087.91320074</v>
      </c>
      <c r="J3" s="102" t="s">
        <v>206</v>
      </c>
      <c r="K3" s="47">
        <f>(Financials!O172*-1)/A3</f>
        <v>3.8452978640542167E-2</v>
      </c>
      <c r="L3" s="37" t="s">
        <v>213</v>
      </c>
      <c r="M3" s="40"/>
      <c r="N3" s="112" t="s">
        <v>207</v>
      </c>
      <c r="O3" s="113"/>
      <c r="P3" s="40"/>
    </row>
    <row r="4" spans="1:16" ht="22" customHeight="1" x14ac:dyDescent="0.2">
      <c r="A4" s="41">
        <f>Financials!O56-Financials!O96-Financials!O105</f>
        <v>14960000</v>
      </c>
      <c r="B4" s="42" t="s">
        <v>208</v>
      </c>
      <c r="C4" s="43">
        <f>Financials!O17*0.01</f>
        <v>0.3322</v>
      </c>
      <c r="D4" s="42" t="s">
        <v>209</v>
      </c>
      <c r="E4" s="43">
        <f>SUM(C13:E13)/3</f>
        <v>0.30060363777748811</v>
      </c>
      <c r="F4" s="44" t="s">
        <v>210</v>
      </c>
      <c r="G4" s="45">
        <f>A5*(1+(5*G3))</f>
        <v>12295328.448667184</v>
      </c>
      <c r="H4" s="46" t="s">
        <v>211</v>
      </c>
      <c r="I4" s="41">
        <f>NPV(I6,F14,G14,H14,I14,(J14+I3))</f>
        <v>784512938.2756145</v>
      </c>
      <c r="J4" s="44" t="s">
        <v>212</v>
      </c>
      <c r="K4" s="103" cm="1">
        <f t="array" ref="K4">_FV(A1,"Change (%)",TRUE)</f>
        <v>-8.4480000000000006E-3</v>
      </c>
      <c r="L4" s="46" t="s">
        <v>251</v>
      </c>
      <c r="M4" s="40"/>
      <c r="N4" s="114" t="s">
        <v>214</v>
      </c>
      <c r="O4" s="115"/>
      <c r="P4" s="40"/>
    </row>
    <row r="5" spans="1:16" ht="22" customHeight="1" x14ac:dyDescent="0.2">
      <c r="A5" s="45" cm="1">
        <f t="array" ref="A5">_FV(A1,"Shares outstanding",TRUE)</f>
        <v>11923050</v>
      </c>
      <c r="B5" s="42" t="s">
        <v>215</v>
      </c>
      <c r="C5" s="48">
        <f>Financials!O34*0.01</f>
        <v>0.27929999999999999</v>
      </c>
      <c r="D5" s="42" t="s">
        <v>216</v>
      </c>
      <c r="E5" s="43">
        <f>SUM(C15:E15)/3</f>
        <v>0.34255532122864679</v>
      </c>
      <c r="F5" s="44" t="s">
        <v>217</v>
      </c>
      <c r="G5" s="45">
        <f>Financials!O56</f>
        <v>29884000</v>
      </c>
      <c r="H5" s="46" t="s">
        <v>218</v>
      </c>
      <c r="I5" s="41">
        <f>I4+G5-G6</f>
        <v>799472938.2756145</v>
      </c>
      <c r="J5" s="44" t="s">
        <v>219</v>
      </c>
      <c r="K5" s="104" cm="1">
        <f t="array" ref="K5">_FV(A1,"Price")</f>
        <v>57.51</v>
      </c>
      <c r="L5" s="42" t="s">
        <v>220</v>
      </c>
      <c r="M5" s="40"/>
      <c r="N5" s="49" t="s">
        <v>221</v>
      </c>
      <c r="O5" s="50">
        <f>Financials!O20</f>
        <v>-295000</v>
      </c>
      <c r="P5" s="40"/>
    </row>
    <row r="6" spans="1:16" ht="22" customHeight="1" x14ac:dyDescent="0.2">
      <c r="A6" s="51">
        <f>O20/F10</f>
        <v>6.1222732589285718</v>
      </c>
      <c r="B6" s="42" t="s">
        <v>222</v>
      </c>
      <c r="C6" s="43">
        <f>Financials!O190</f>
        <v>0.28851540616246496</v>
      </c>
      <c r="D6" s="52" t="s">
        <v>201</v>
      </c>
      <c r="E6" s="43">
        <f>Financials!O33/Financials!O126</f>
        <v>0.93243413986985912</v>
      </c>
      <c r="F6" s="42" t="s">
        <v>223</v>
      </c>
      <c r="G6" s="41">
        <f>Financials!O96+Financials!O105</f>
        <v>14924000</v>
      </c>
      <c r="H6" s="46" t="s">
        <v>224</v>
      </c>
      <c r="I6" s="53">
        <f>N25</f>
        <v>6.9462991254552145E-2</v>
      </c>
      <c r="J6" s="46" t="s">
        <v>225</v>
      </c>
      <c r="K6" s="54">
        <f>I5/G4</f>
        <v>65.022495463492689</v>
      </c>
      <c r="L6" s="55" t="s">
        <v>226</v>
      </c>
      <c r="M6" s="40"/>
      <c r="N6" s="56" t="s">
        <v>227</v>
      </c>
      <c r="O6" s="57">
        <f>Financials!O96</f>
        <v>1935000</v>
      </c>
      <c r="P6" s="40"/>
    </row>
    <row r="7" spans="1:16" ht="22" customHeight="1" x14ac:dyDescent="0.2">
      <c r="A7" s="58">
        <f>O20/F12</f>
        <v>24.489093035714287</v>
      </c>
      <c r="B7" s="59" t="s">
        <v>228</v>
      </c>
      <c r="C7" s="60">
        <f>F14/A3</f>
        <v>5.5418257228376469E-2</v>
      </c>
      <c r="D7" s="61" t="s">
        <v>229</v>
      </c>
      <c r="E7" s="62">
        <f>(Financials!O16*(1-0.25))/(Financials!O126+Financials!O105+Financials!O96)</f>
        <v>0.56513245459619599</v>
      </c>
      <c r="F7" s="59" t="s">
        <v>197</v>
      </c>
      <c r="G7" s="63">
        <f>(Financials!O96+Financials!O105)/Financials!O126</f>
        <v>0.47141322888369447</v>
      </c>
      <c r="H7" s="64" t="s">
        <v>230</v>
      </c>
      <c r="I7" s="65">
        <v>0.02</v>
      </c>
      <c r="J7" s="66" t="s">
        <v>231</v>
      </c>
      <c r="K7" s="67">
        <f>K6/K5-1</f>
        <v>0.13062937686476594</v>
      </c>
      <c r="L7" s="68" t="s">
        <v>232</v>
      </c>
      <c r="M7" s="40"/>
      <c r="N7" s="56" t="s">
        <v>233</v>
      </c>
      <c r="O7" s="57">
        <f>Financials!O105</f>
        <v>12989000</v>
      </c>
      <c r="P7" s="40"/>
    </row>
    <row r="8" spans="1:16" ht="22" customHeight="1" x14ac:dyDescent="0.2">
      <c r="A8" s="69"/>
      <c r="B8" s="40"/>
      <c r="C8" s="40"/>
      <c r="D8" s="40"/>
      <c r="E8" s="40"/>
      <c r="F8" s="40"/>
      <c r="G8" s="40"/>
      <c r="H8" s="40"/>
      <c r="I8" s="40"/>
      <c r="J8" s="40"/>
      <c r="K8" s="40"/>
      <c r="L8" s="40"/>
      <c r="M8" s="40"/>
      <c r="N8" s="70" t="s">
        <v>214</v>
      </c>
      <c r="O8" s="71">
        <f>O5/(O6+O7)</f>
        <v>-1.9766818547306352E-2</v>
      </c>
      <c r="P8" s="40"/>
    </row>
    <row r="9" spans="1:16" ht="22" customHeight="1" x14ac:dyDescent="0.2">
      <c r="A9" s="72"/>
      <c r="B9" s="73">
        <v>2019</v>
      </c>
      <c r="C9" s="73">
        <v>2020</v>
      </c>
      <c r="D9" s="73">
        <v>2021</v>
      </c>
      <c r="E9" s="73">
        <v>2022</v>
      </c>
      <c r="F9" s="74">
        <v>2023</v>
      </c>
      <c r="G9" s="75">
        <v>2024</v>
      </c>
      <c r="H9" s="75">
        <v>2025</v>
      </c>
      <c r="I9" s="75">
        <v>2026</v>
      </c>
      <c r="J9" s="75">
        <v>2027</v>
      </c>
      <c r="K9" s="76"/>
      <c r="L9" s="77"/>
      <c r="M9" s="77"/>
      <c r="N9" s="56" t="s">
        <v>234</v>
      </c>
      <c r="O9" s="57">
        <f>Financials!O25</f>
        <v>5873000</v>
      </c>
      <c r="P9" s="40"/>
    </row>
    <row r="10" spans="1:16" ht="22" customHeight="1" x14ac:dyDescent="0.2">
      <c r="A10" s="78" t="s">
        <v>235</v>
      </c>
      <c r="B10" s="79">
        <v>60350000</v>
      </c>
      <c r="C10" s="79">
        <v>68419000</v>
      </c>
      <c r="D10" s="79">
        <v>99911000</v>
      </c>
      <c r="E10" s="79">
        <v>105149000</v>
      </c>
      <c r="F10" s="80">
        <v>112000000</v>
      </c>
      <c r="G10" s="79">
        <v>116400000</v>
      </c>
      <c r="H10" s="79">
        <v>119000000</v>
      </c>
      <c r="I10" s="79">
        <v>121000000</v>
      </c>
      <c r="J10" s="79">
        <v>124000000</v>
      </c>
      <c r="K10" s="81" t="s">
        <v>236</v>
      </c>
      <c r="N10" s="56" t="s">
        <v>237</v>
      </c>
      <c r="O10" s="57">
        <f>Financials!O24</f>
        <v>35392000</v>
      </c>
      <c r="P10" s="40"/>
    </row>
    <row r="11" spans="1:16" ht="22" customHeight="1" x14ac:dyDescent="0.2">
      <c r="A11" s="82"/>
      <c r="B11" s="83"/>
      <c r="C11" s="83">
        <f t="shared" ref="C11:J11" si="0">(C10/B10)-1</f>
        <v>0.13370339685169852</v>
      </c>
      <c r="D11" s="83">
        <f t="shared" si="0"/>
        <v>0.46028150075271479</v>
      </c>
      <c r="E11" s="83">
        <f t="shared" si="0"/>
        <v>5.242665972715721E-2</v>
      </c>
      <c r="F11" s="84">
        <f t="shared" si="0"/>
        <v>6.5155160771857012E-2</v>
      </c>
      <c r="G11" s="83">
        <f t="shared" si="0"/>
        <v>3.9285714285714368E-2</v>
      </c>
      <c r="H11" s="83">
        <f t="shared" si="0"/>
        <v>2.2336769759450092E-2</v>
      </c>
      <c r="I11" s="83">
        <f t="shared" si="0"/>
        <v>1.6806722689075571E-2</v>
      </c>
      <c r="J11" s="83">
        <f t="shared" si="0"/>
        <v>2.4793388429751984E-2</v>
      </c>
      <c r="K11" s="85">
        <f>SUM(F11:J11)/5</f>
        <v>3.3675551187169805E-2</v>
      </c>
      <c r="L11" s="77"/>
      <c r="M11" s="77"/>
      <c r="N11" s="56" t="s">
        <v>238</v>
      </c>
      <c r="O11" s="86">
        <f>O9/O10</f>
        <v>0.16594145569620253</v>
      </c>
      <c r="P11" s="40"/>
    </row>
    <row r="12" spans="1:16" ht="22" customHeight="1" x14ac:dyDescent="0.2">
      <c r="A12" s="78" t="s">
        <v>142</v>
      </c>
      <c r="B12" s="79">
        <v>14942000</v>
      </c>
      <c r="C12" s="79">
        <v>18274000</v>
      </c>
      <c r="D12" s="79">
        <v>30476000</v>
      </c>
      <c r="E12" s="79">
        <v>30814000</v>
      </c>
      <c r="F12" s="80">
        <v>28000000</v>
      </c>
      <c r="G12" s="79">
        <v>32000000</v>
      </c>
      <c r="H12" s="79">
        <v>33000000</v>
      </c>
      <c r="I12" s="79">
        <v>33500000</v>
      </c>
      <c r="J12" s="79">
        <v>34000000</v>
      </c>
      <c r="K12" s="81" t="s">
        <v>239</v>
      </c>
      <c r="L12" s="77"/>
      <c r="M12" s="77"/>
      <c r="N12" s="87" t="s">
        <v>240</v>
      </c>
      <c r="O12" s="88">
        <f>O8*(1-O11)</f>
        <v>-1.6486683903083641E-2</v>
      </c>
      <c r="P12" s="40"/>
    </row>
    <row r="13" spans="1:16" ht="22" customHeight="1" x14ac:dyDescent="0.2">
      <c r="A13" s="82"/>
      <c r="B13" s="83"/>
      <c r="C13" s="83">
        <f t="shared" ref="C13:J13" si="1">(C12/B12)-1</f>
        <v>0.22299558292062649</v>
      </c>
      <c r="D13" s="83">
        <f t="shared" si="1"/>
        <v>0.66772463609499844</v>
      </c>
      <c r="E13" s="83">
        <f t="shared" si="1"/>
        <v>1.10906943168394E-2</v>
      </c>
      <c r="F13" s="84">
        <f t="shared" si="1"/>
        <v>-9.1322126306224494E-2</v>
      </c>
      <c r="G13" s="83">
        <f t="shared" si="1"/>
        <v>0.14285714285714279</v>
      </c>
      <c r="H13" s="83">
        <f t="shared" si="1"/>
        <v>3.125E-2</v>
      </c>
      <c r="I13" s="83">
        <f t="shared" si="1"/>
        <v>1.5151515151515138E-2</v>
      </c>
      <c r="J13" s="83">
        <f t="shared" si="1"/>
        <v>1.4925373134328401E-2</v>
      </c>
      <c r="K13" s="85">
        <f>SUM(F13:J13)/5</f>
        <v>2.2572380967352368E-2</v>
      </c>
      <c r="L13" s="77"/>
      <c r="M13" s="77"/>
      <c r="N13" s="114" t="s">
        <v>241</v>
      </c>
      <c r="O13" s="115"/>
      <c r="P13" s="40"/>
    </row>
    <row r="14" spans="1:16" ht="22" customHeight="1" x14ac:dyDescent="0.2">
      <c r="A14" s="78" t="s">
        <v>185</v>
      </c>
      <c r="B14" s="79">
        <v>16561000</v>
      </c>
      <c r="C14" s="79">
        <v>24979000</v>
      </c>
      <c r="D14" s="79">
        <v>45061000</v>
      </c>
      <c r="E14" s="79">
        <v>32237000</v>
      </c>
      <c r="F14" s="80">
        <v>38000000</v>
      </c>
      <c r="G14" s="79">
        <v>41000000</v>
      </c>
      <c r="H14" s="79">
        <v>40000000</v>
      </c>
      <c r="I14" s="79">
        <v>41000000</v>
      </c>
      <c r="J14" s="79">
        <v>42000000</v>
      </c>
      <c r="K14" s="81" t="s">
        <v>242</v>
      </c>
      <c r="L14" s="77"/>
      <c r="M14" s="77"/>
      <c r="N14" s="56" t="s">
        <v>243</v>
      </c>
      <c r="O14" s="86">
        <f>'[1]US Treasury Bonds'!$C$8</f>
        <v>4.5710000000000001E-2</v>
      </c>
      <c r="P14" s="40"/>
    </row>
    <row r="15" spans="1:16" ht="22" customHeight="1" x14ac:dyDescent="0.2">
      <c r="A15" s="89"/>
      <c r="B15" s="83"/>
      <c r="C15" s="83">
        <f t="shared" ref="C15:J15" si="2">(C14/B14)-1</f>
        <v>0.50830263872954529</v>
      </c>
      <c r="D15" s="83">
        <f t="shared" si="2"/>
        <v>0.80395532247087553</v>
      </c>
      <c r="E15" s="83">
        <f t="shared" si="2"/>
        <v>-0.28459199751448039</v>
      </c>
      <c r="F15" s="84">
        <f t="shared" si="2"/>
        <v>0.17876973663802453</v>
      </c>
      <c r="G15" s="83">
        <f t="shared" si="2"/>
        <v>7.8947368421052655E-2</v>
      </c>
      <c r="H15" s="83">
        <f t="shared" si="2"/>
        <v>-2.4390243902439046E-2</v>
      </c>
      <c r="I15" s="83">
        <f t="shared" si="2"/>
        <v>2.4999999999999911E-2</v>
      </c>
      <c r="J15" s="83">
        <f t="shared" si="2"/>
        <v>2.4390243902439046E-2</v>
      </c>
      <c r="K15" s="85">
        <f>SUM(F15:J15)/5</f>
        <v>5.654342101181542E-2</v>
      </c>
      <c r="L15" s="77"/>
      <c r="M15" s="77"/>
      <c r="N15" s="56" t="s">
        <v>244</v>
      </c>
      <c r="O15" s="90" cm="1">
        <f t="array" ref="O15">_FV(A1,"Beta")</f>
        <v>0.66920000000000002</v>
      </c>
      <c r="P15" s="40"/>
    </row>
    <row r="16" spans="1:16" ht="22" customHeight="1" x14ac:dyDescent="0.2">
      <c r="A16" s="78" t="s">
        <v>197</v>
      </c>
      <c r="B16" s="91">
        <v>0.38164821718220882</v>
      </c>
      <c r="C16" s="91">
        <v>0.44853515625000001</v>
      </c>
      <c r="D16" s="91">
        <v>0.68847946297056484</v>
      </c>
      <c r="E16" s="91">
        <v>0.61304304393189335</v>
      </c>
      <c r="F16" s="92"/>
      <c r="G16" s="93"/>
      <c r="H16" s="93"/>
      <c r="I16" s="93"/>
      <c r="J16" s="93"/>
      <c r="K16" s="94"/>
      <c r="L16" s="77"/>
      <c r="M16" s="77"/>
      <c r="N16" s="56" t="s">
        <v>245</v>
      </c>
      <c r="O16" s="86">
        <v>8.4000000000000005E-2</v>
      </c>
      <c r="P16" s="40"/>
    </row>
    <row r="17" spans="1:16" ht="22" customHeight="1" x14ac:dyDescent="0.2">
      <c r="A17" s="77"/>
      <c r="B17" s="95"/>
      <c r="C17" s="95"/>
      <c r="D17" s="95"/>
      <c r="E17" s="95"/>
      <c r="F17" s="77"/>
      <c r="G17" s="77"/>
      <c r="H17" s="77"/>
      <c r="I17" s="77"/>
      <c r="J17" s="77"/>
      <c r="K17" s="77"/>
      <c r="L17" s="77"/>
      <c r="M17" s="77"/>
      <c r="N17" s="96" t="s">
        <v>241</v>
      </c>
      <c r="O17" s="97">
        <f>(O14)+((O15)*(O16-O14))</f>
        <v>7.1333668000000003E-2</v>
      </c>
      <c r="P17" s="40"/>
    </row>
    <row r="18" spans="1:16" ht="22" customHeight="1" x14ac:dyDescent="0.2">
      <c r="A18" s="77"/>
      <c r="B18" s="77"/>
      <c r="C18" s="77"/>
      <c r="D18" s="77"/>
      <c r="E18" s="77"/>
      <c r="F18" s="77"/>
      <c r="G18" s="77"/>
      <c r="H18" s="77"/>
      <c r="I18" s="77"/>
      <c r="J18" s="77"/>
      <c r="K18" s="77"/>
      <c r="L18" s="77"/>
      <c r="M18" s="77"/>
      <c r="N18" s="114" t="s">
        <v>246</v>
      </c>
      <c r="O18" s="115"/>
      <c r="P18" s="40"/>
    </row>
    <row r="19" spans="1:16" ht="22" customHeight="1" x14ac:dyDescent="0.2">
      <c r="A19" s="105" t="str" cm="1">
        <f t="array" ref="A19">_FV(A1,"Industry")</f>
        <v>Investment Banking &amp; Investment Services</v>
      </c>
      <c r="B19" s="105"/>
      <c r="C19" s="116" cm="1">
        <f t="array" ref="C19">_FV(A1,"Year incorporated",TRUE)</f>
        <v>1997</v>
      </c>
      <c r="D19" s="116"/>
      <c r="E19" s="98"/>
      <c r="F19" s="77"/>
      <c r="G19" s="77"/>
      <c r="H19" s="77"/>
      <c r="I19" s="77"/>
      <c r="J19" s="77"/>
      <c r="K19" s="77"/>
      <c r="L19" s="77"/>
      <c r="M19" s="77"/>
      <c r="N19" s="56" t="s">
        <v>224</v>
      </c>
      <c r="O19" s="99">
        <f>O6+O7</f>
        <v>14924000</v>
      </c>
      <c r="P19" s="40"/>
    </row>
    <row r="20" spans="1:16" ht="22" customHeight="1" x14ac:dyDescent="0.2">
      <c r="A20" s="105" t="str" cm="1">
        <f t="array" ref="A20">_FV(A1,"Description")</f>
        <v>OTC Markets Group Inc. operates regulated markets for trading 12,000 United States and international securities. The Company’s three public markets include OTCQX Best Market, OTCQB Venture Market and Pink Open Market. It operates three business lines: OTC Link, Market Data Licensing, and Corporate Services. Its wholly owned subsidiary, OTC Link LLC, operates OTC Link ATS, OTC Link ECN, and OTC Link NQB, each a Securities and Exchange Commission (SEC)-regulated alternative trading system (ATS). Market Data Licensing distributes market data and financial information. Corporate Services operates the OTCQX and OTCQB markets and offers issuers disclosure and regulatory compliance products. It provides critical infrastructure to the United States financial markets, connecting brokers, organizing markets, and incentivizing disclosure. Its market data provides price transparency, assists regulated entities in meeting their compliance obligations, and enables informed investment decisions.</v>
      </c>
      <c r="B20" s="105"/>
      <c r="C20" s="105"/>
      <c r="D20" s="105"/>
      <c r="E20" s="105"/>
      <c r="F20" s="77"/>
      <c r="G20" s="77"/>
      <c r="H20" s="77"/>
      <c r="I20" s="77"/>
      <c r="J20" s="77"/>
      <c r="K20" s="77"/>
      <c r="L20" s="77"/>
      <c r="M20" s="77"/>
      <c r="N20" s="56" t="s">
        <v>202</v>
      </c>
      <c r="O20" s="99" cm="1">
        <f t="array" ref="O20">_FV(A1,"Market cap",TRUE)</f>
        <v>685694605</v>
      </c>
      <c r="P20" s="40"/>
    </row>
    <row r="21" spans="1:16" ht="22" customHeight="1" x14ac:dyDescent="0.2">
      <c r="A21" s="105"/>
      <c r="B21" s="105"/>
      <c r="C21" s="105"/>
      <c r="D21" s="105"/>
      <c r="E21" s="105"/>
      <c r="F21" s="77"/>
      <c r="G21" s="77"/>
      <c r="H21" s="77"/>
      <c r="I21" s="77"/>
      <c r="J21" s="77"/>
      <c r="K21" s="77"/>
      <c r="M21" s="77"/>
      <c r="N21" s="56" t="s">
        <v>247</v>
      </c>
      <c r="O21" s="99">
        <f>O19+O20</f>
        <v>700618605</v>
      </c>
      <c r="P21" s="40"/>
    </row>
    <row r="22" spans="1:16" ht="22" customHeight="1" x14ac:dyDescent="0.2">
      <c r="A22" s="105"/>
      <c r="B22" s="105"/>
      <c r="C22" s="105"/>
      <c r="D22" s="105"/>
      <c r="E22" s="105"/>
      <c r="F22" s="77"/>
      <c r="G22" s="77"/>
      <c r="H22" s="77"/>
      <c r="I22" s="77"/>
      <c r="J22" s="77"/>
      <c r="K22" s="77"/>
      <c r="L22" s="77"/>
      <c r="M22" s="77"/>
      <c r="N22" s="70" t="s">
        <v>248</v>
      </c>
      <c r="O22" s="100">
        <f>(O19/O21)</f>
        <v>2.130117569458493E-2</v>
      </c>
      <c r="P22" s="40"/>
    </row>
    <row r="23" spans="1:16" ht="22" customHeight="1" x14ac:dyDescent="0.2">
      <c r="A23" s="105"/>
      <c r="B23" s="105"/>
      <c r="C23" s="105"/>
      <c r="D23" s="105"/>
      <c r="E23" s="105"/>
      <c r="F23" s="77"/>
      <c r="G23" s="77"/>
      <c r="H23" s="77"/>
      <c r="I23" s="77"/>
      <c r="J23" s="77"/>
      <c r="K23" s="77"/>
      <c r="L23" s="77"/>
      <c r="M23" s="77"/>
      <c r="N23" s="96" t="s">
        <v>249</v>
      </c>
      <c r="O23" s="101">
        <f>O20/O21</f>
        <v>0.9786988243054151</v>
      </c>
      <c r="P23" s="40"/>
    </row>
    <row r="24" spans="1:16" ht="22" customHeight="1" x14ac:dyDescent="0.2">
      <c r="A24" s="105"/>
      <c r="B24" s="105"/>
      <c r="C24" s="105"/>
      <c r="D24" s="105"/>
      <c r="E24" s="105"/>
      <c r="F24" s="77"/>
      <c r="G24" s="77"/>
      <c r="H24" s="77"/>
      <c r="I24" s="77"/>
      <c r="J24" s="77"/>
      <c r="K24" s="77"/>
      <c r="L24" s="77"/>
      <c r="M24" s="77"/>
      <c r="N24" s="106" t="s">
        <v>250</v>
      </c>
      <c r="O24" s="107"/>
      <c r="P24" s="40"/>
    </row>
    <row r="25" spans="1:16" ht="22" customHeight="1" x14ac:dyDescent="0.2">
      <c r="A25" s="105"/>
      <c r="B25" s="105"/>
      <c r="C25" s="105"/>
      <c r="D25" s="105"/>
      <c r="E25" s="105"/>
      <c r="F25" s="77"/>
      <c r="G25" s="77"/>
      <c r="H25" s="77"/>
      <c r="I25" s="77"/>
      <c r="J25" s="77"/>
      <c r="K25" s="77"/>
      <c r="L25" s="77"/>
      <c r="M25" s="77"/>
      <c r="N25" s="108">
        <f>(O22*O12)+(O23*O17)</f>
        <v>6.9462991254552145E-2</v>
      </c>
      <c r="O25" s="109"/>
      <c r="P25" s="40"/>
    </row>
    <row r="26" spans="1:16" ht="22" customHeight="1" x14ac:dyDescent="0.2">
      <c r="A26" s="105"/>
      <c r="B26" s="105"/>
      <c r="C26" s="105"/>
      <c r="D26" s="105"/>
      <c r="E26" s="105"/>
      <c r="F26" s="77"/>
      <c r="G26" s="77"/>
      <c r="H26" s="77"/>
      <c r="I26" s="77"/>
      <c r="J26" s="77"/>
      <c r="K26" s="77"/>
      <c r="L26" s="77"/>
      <c r="M26" s="77"/>
      <c r="N26" s="77"/>
      <c r="O26" s="40"/>
      <c r="P26" s="40"/>
    </row>
    <row r="27" spans="1:16" ht="22" customHeight="1" x14ac:dyDescent="0.2">
      <c r="A27" s="105"/>
      <c r="B27" s="105"/>
      <c r="C27" s="105"/>
      <c r="D27" s="105"/>
      <c r="E27" s="105"/>
      <c r="F27" s="77"/>
      <c r="G27" s="77"/>
      <c r="H27" s="77"/>
      <c r="I27" s="77"/>
      <c r="J27" s="77"/>
      <c r="K27" s="77"/>
      <c r="L27" s="77"/>
      <c r="M27" s="77"/>
      <c r="N27" s="77"/>
      <c r="O27" s="40"/>
      <c r="P27" s="40"/>
    </row>
    <row r="28" spans="1:16" ht="22" customHeight="1" x14ac:dyDescent="0.2">
      <c r="A28" s="77"/>
      <c r="B28" s="77"/>
      <c r="C28" s="77"/>
      <c r="D28" s="77"/>
      <c r="E28" s="77"/>
      <c r="F28" s="77"/>
      <c r="G28" s="77"/>
      <c r="H28" s="77"/>
      <c r="I28" s="77"/>
      <c r="J28" s="77"/>
      <c r="K28" s="77"/>
      <c r="L28" s="77"/>
      <c r="M28" s="77"/>
      <c r="N28" s="77"/>
      <c r="O28" s="40"/>
      <c r="P28" s="40"/>
    </row>
    <row r="29" spans="1:16" ht="22" customHeight="1" x14ac:dyDescent="0.2">
      <c r="A29" s="77"/>
      <c r="B29" s="77"/>
      <c r="C29" s="77"/>
      <c r="D29" s="77"/>
      <c r="E29" s="77"/>
      <c r="F29" s="77"/>
      <c r="G29" s="77"/>
      <c r="H29" s="77"/>
      <c r="I29" s="77"/>
      <c r="J29" s="77"/>
      <c r="K29" s="77"/>
      <c r="L29" s="77"/>
      <c r="M29" s="77"/>
      <c r="N29" s="77"/>
      <c r="O29" s="40"/>
      <c r="P29" s="40"/>
    </row>
    <row r="30" spans="1:16" ht="22" customHeight="1" x14ac:dyDescent="0.2">
      <c r="A30" s="77"/>
      <c r="B30" s="77"/>
      <c r="C30" s="77"/>
      <c r="D30" s="77"/>
      <c r="E30" s="77"/>
      <c r="F30" s="77"/>
      <c r="G30" s="77"/>
      <c r="H30" s="77"/>
      <c r="I30" s="77"/>
      <c r="J30" s="77"/>
      <c r="K30" s="77"/>
      <c r="L30" s="77"/>
      <c r="M30" s="77"/>
      <c r="N30" s="77"/>
      <c r="O30" s="40"/>
      <c r="P30" s="40"/>
    </row>
    <row r="31" spans="1:16" x14ac:dyDescent="0.2">
      <c r="A31" s="40"/>
      <c r="B31" s="40"/>
      <c r="C31" s="40"/>
      <c r="D31" s="40"/>
      <c r="E31" s="40"/>
      <c r="F31" s="40"/>
      <c r="G31" s="40"/>
      <c r="H31" s="40"/>
      <c r="I31" s="40"/>
      <c r="J31" s="40"/>
      <c r="K31" s="40"/>
      <c r="L31" s="40"/>
      <c r="M31" s="40"/>
      <c r="N31" s="40"/>
      <c r="O31" s="40"/>
      <c r="P31" s="40"/>
    </row>
    <row r="32" spans="1:16" x14ac:dyDescent="0.2">
      <c r="A32" s="40"/>
      <c r="B32" s="40"/>
      <c r="C32" s="40"/>
      <c r="D32" s="40"/>
      <c r="E32" s="40"/>
      <c r="F32" s="40"/>
      <c r="G32" s="40"/>
      <c r="H32" s="40"/>
      <c r="I32" s="40"/>
      <c r="J32" s="40"/>
      <c r="K32" s="40"/>
      <c r="L32" s="40"/>
      <c r="M32" s="40"/>
      <c r="N32" s="40"/>
      <c r="O32" s="40"/>
      <c r="P32" s="40"/>
    </row>
    <row r="33" spans="1:16" x14ac:dyDescent="0.2">
      <c r="A33" s="77"/>
      <c r="B33" s="77"/>
      <c r="C33" s="77"/>
      <c r="D33" s="77"/>
      <c r="E33" s="77"/>
      <c r="F33" s="77"/>
      <c r="G33" s="77"/>
      <c r="H33" s="77"/>
      <c r="I33" s="77"/>
      <c r="J33" s="77"/>
      <c r="K33" s="77"/>
      <c r="L33" s="77"/>
      <c r="M33" s="77"/>
      <c r="N33" s="77"/>
      <c r="O33" s="77"/>
      <c r="P33" s="77"/>
    </row>
    <row r="34" spans="1:16" x14ac:dyDescent="0.2">
      <c r="A34" s="77"/>
      <c r="B34" s="77"/>
      <c r="C34" s="77"/>
      <c r="D34" s="77"/>
      <c r="E34" s="77"/>
      <c r="F34" s="77"/>
      <c r="G34" s="77"/>
      <c r="H34" s="77"/>
      <c r="I34" s="77"/>
      <c r="J34" s="77"/>
      <c r="K34" s="77"/>
      <c r="L34" s="77"/>
      <c r="M34" s="77"/>
      <c r="N34" s="77"/>
      <c r="O34" s="77"/>
      <c r="P34" s="77"/>
    </row>
    <row r="35" spans="1:16" x14ac:dyDescent="0.2">
      <c r="A35" s="77"/>
      <c r="B35" s="77"/>
      <c r="C35" s="77"/>
      <c r="D35" s="77"/>
      <c r="E35" s="77"/>
      <c r="F35" s="77"/>
      <c r="G35" s="77"/>
      <c r="H35" s="77"/>
      <c r="I35" s="77"/>
      <c r="J35" s="77"/>
      <c r="K35" s="77"/>
      <c r="L35" s="77"/>
      <c r="M35" s="77"/>
      <c r="N35" s="77"/>
      <c r="O35" s="77"/>
      <c r="P35" s="77"/>
    </row>
    <row r="36" spans="1:16" x14ac:dyDescent="0.2">
      <c r="A36" s="77"/>
      <c r="B36" s="77"/>
      <c r="C36" s="77"/>
      <c r="D36" s="77"/>
      <c r="E36" s="77"/>
      <c r="F36" s="77"/>
      <c r="G36" s="77"/>
      <c r="H36" s="77"/>
      <c r="I36" s="77"/>
      <c r="J36" s="77"/>
      <c r="K36" s="77"/>
      <c r="L36" s="77"/>
      <c r="M36" s="77"/>
      <c r="N36" s="77"/>
      <c r="O36" s="77"/>
      <c r="P36" s="77"/>
    </row>
    <row r="37" spans="1:16" x14ac:dyDescent="0.2">
      <c r="A37" s="77"/>
      <c r="B37" s="77"/>
      <c r="C37" s="77"/>
      <c r="D37" s="77"/>
      <c r="E37" s="77"/>
      <c r="F37" s="77"/>
      <c r="G37" s="77"/>
      <c r="H37" s="77"/>
      <c r="I37" s="77"/>
      <c r="J37" s="77"/>
      <c r="K37" s="77"/>
      <c r="L37" s="77"/>
      <c r="M37" s="77"/>
      <c r="N37" s="77"/>
      <c r="O37" s="77"/>
      <c r="P37" s="77"/>
    </row>
    <row r="38" spans="1:16" x14ac:dyDescent="0.2">
      <c r="A38" s="77"/>
      <c r="B38" s="77"/>
      <c r="C38" s="77"/>
      <c r="D38" s="77"/>
      <c r="E38" s="77"/>
      <c r="F38" s="77"/>
      <c r="G38" s="77"/>
      <c r="H38" s="77"/>
      <c r="I38" s="77"/>
      <c r="J38" s="77"/>
      <c r="K38" s="77"/>
      <c r="L38" s="77"/>
      <c r="M38" s="77"/>
      <c r="N38" s="77"/>
      <c r="O38" s="77"/>
      <c r="P38" s="77"/>
    </row>
    <row r="39" spans="1:16" x14ac:dyDescent="0.2">
      <c r="A39" s="77"/>
      <c r="B39" s="77"/>
      <c r="C39" s="77"/>
      <c r="D39" s="77"/>
      <c r="E39" s="77"/>
      <c r="F39" s="77"/>
      <c r="G39" s="77"/>
      <c r="H39" s="77"/>
      <c r="I39" s="77"/>
      <c r="J39" s="77"/>
      <c r="K39" s="77"/>
      <c r="L39" s="77"/>
      <c r="M39" s="77"/>
      <c r="N39" s="77"/>
      <c r="O39" s="77"/>
      <c r="P39" s="77"/>
    </row>
    <row r="40" spans="1:16" x14ac:dyDescent="0.2">
      <c r="A40" s="77"/>
      <c r="B40" s="77"/>
      <c r="C40" s="77"/>
      <c r="D40" s="77"/>
      <c r="E40" s="77"/>
      <c r="F40" s="77"/>
      <c r="G40" s="77"/>
      <c r="H40" s="77"/>
      <c r="I40" s="77"/>
      <c r="J40" s="77"/>
      <c r="K40" s="77"/>
      <c r="L40" s="77"/>
      <c r="M40" s="77"/>
      <c r="N40" s="77"/>
      <c r="O40" s="77"/>
      <c r="P40" s="77"/>
    </row>
    <row r="41" spans="1:16" x14ac:dyDescent="0.2">
      <c r="A41" s="77"/>
      <c r="B41" s="77"/>
      <c r="C41" s="77"/>
      <c r="D41" s="77"/>
      <c r="E41" s="77"/>
      <c r="F41" s="77"/>
      <c r="G41" s="77"/>
      <c r="H41" s="77"/>
      <c r="I41" s="77"/>
      <c r="J41" s="77"/>
      <c r="K41" s="77"/>
      <c r="L41" s="77"/>
      <c r="M41" s="77"/>
      <c r="N41" s="77"/>
      <c r="O41" s="77"/>
      <c r="P41" s="77"/>
    </row>
    <row r="42" spans="1:16" x14ac:dyDescent="0.2">
      <c r="A42" s="77"/>
      <c r="B42" s="77"/>
      <c r="C42" s="77"/>
      <c r="D42" s="77"/>
      <c r="E42" s="77"/>
      <c r="F42" s="77"/>
      <c r="G42" s="77"/>
      <c r="H42" s="77"/>
      <c r="I42" s="77"/>
      <c r="J42" s="77"/>
      <c r="K42" s="77"/>
      <c r="L42" s="77"/>
      <c r="M42" s="77"/>
      <c r="N42" s="77"/>
      <c r="O42" s="77"/>
      <c r="P42" s="77"/>
    </row>
    <row r="43" spans="1:16" x14ac:dyDescent="0.2">
      <c r="A43" s="77"/>
      <c r="B43" s="77"/>
      <c r="C43" s="77"/>
      <c r="D43" s="77"/>
      <c r="E43" s="77"/>
      <c r="F43" s="77"/>
      <c r="G43" s="77"/>
      <c r="H43" s="77"/>
      <c r="I43" s="77"/>
      <c r="J43" s="77"/>
      <c r="K43" s="77"/>
      <c r="L43" s="77"/>
      <c r="M43" s="77"/>
      <c r="N43" s="77"/>
      <c r="O43" s="77"/>
      <c r="P43" s="77"/>
    </row>
    <row r="44" spans="1:16" x14ac:dyDescent="0.2">
      <c r="A44" s="77"/>
      <c r="B44" s="77"/>
      <c r="C44" s="77"/>
      <c r="D44" s="77"/>
      <c r="E44" s="77"/>
      <c r="F44" s="77"/>
      <c r="G44" s="77"/>
      <c r="H44" s="77"/>
      <c r="I44" s="77"/>
      <c r="J44" s="77"/>
      <c r="K44" s="77"/>
      <c r="L44" s="77"/>
      <c r="M44" s="77"/>
      <c r="N44" s="77"/>
      <c r="O44" s="77"/>
      <c r="P44" s="77"/>
    </row>
    <row r="45" spans="1:16" x14ac:dyDescent="0.2">
      <c r="A45" s="77"/>
      <c r="B45" s="77"/>
      <c r="C45" s="77"/>
      <c r="D45" s="77"/>
      <c r="E45" s="77"/>
      <c r="F45" s="77"/>
      <c r="G45" s="77"/>
      <c r="H45" s="77"/>
      <c r="I45" s="77"/>
      <c r="J45" s="77"/>
      <c r="K45" s="77"/>
      <c r="L45" s="77"/>
      <c r="M45" s="77"/>
      <c r="N45" s="77"/>
      <c r="O45" s="77"/>
      <c r="P45" s="77"/>
    </row>
    <row r="46" spans="1:16" x14ac:dyDescent="0.2">
      <c r="A46" s="77"/>
      <c r="B46" s="77"/>
      <c r="C46" s="77"/>
      <c r="D46" s="77"/>
      <c r="E46" s="77"/>
      <c r="F46" s="77"/>
      <c r="G46" s="77"/>
      <c r="H46" s="77"/>
      <c r="I46" s="77"/>
      <c r="J46" s="77"/>
      <c r="K46" s="77"/>
      <c r="L46" s="77"/>
      <c r="M46" s="77"/>
      <c r="N46" s="77"/>
      <c r="O46" s="77"/>
      <c r="P46" s="77"/>
    </row>
    <row r="47" spans="1:16" x14ac:dyDescent="0.2">
      <c r="A47" s="77"/>
      <c r="B47" s="77"/>
      <c r="C47" s="77"/>
      <c r="D47" s="77"/>
      <c r="E47" s="77"/>
      <c r="F47" s="77"/>
      <c r="G47" s="77"/>
      <c r="H47" s="77"/>
      <c r="I47" s="77"/>
      <c r="J47" s="77"/>
      <c r="K47" s="77"/>
      <c r="L47" s="77"/>
      <c r="M47" s="77"/>
      <c r="N47" s="77"/>
      <c r="O47" s="77"/>
      <c r="P47" s="77"/>
    </row>
    <row r="48" spans="1:16" x14ac:dyDescent="0.2">
      <c r="A48" s="77"/>
      <c r="B48" s="77"/>
      <c r="C48" s="77"/>
      <c r="D48" s="77"/>
      <c r="E48" s="77"/>
      <c r="F48" s="77"/>
      <c r="G48" s="77"/>
      <c r="H48" s="77"/>
      <c r="I48" s="77"/>
      <c r="J48" s="77"/>
      <c r="K48" s="77"/>
      <c r="L48" s="77"/>
      <c r="M48" s="77"/>
      <c r="N48" s="77"/>
      <c r="O48" s="77"/>
      <c r="P48" s="77"/>
    </row>
    <row r="49" spans="1:16" x14ac:dyDescent="0.2">
      <c r="A49" s="77"/>
      <c r="B49" s="77"/>
      <c r="C49" s="77"/>
      <c r="D49" s="77"/>
      <c r="E49" s="77"/>
      <c r="F49" s="77"/>
      <c r="G49" s="77"/>
      <c r="H49" s="77"/>
      <c r="I49" s="77"/>
      <c r="J49" s="77"/>
      <c r="K49" s="77"/>
      <c r="L49" s="77"/>
      <c r="M49" s="77"/>
      <c r="N49" s="77"/>
      <c r="O49" s="77"/>
      <c r="P49" s="77"/>
    </row>
    <row r="50" spans="1:16" x14ac:dyDescent="0.2">
      <c r="A50" s="77"/>
      <c r="B50" s="77"/>
      <c r="C50" s="77"/>
      <c r="D50" s="77"/>
      <c r="E50" s="77"/>
      <c r="F50" s="77"/>
      <c r="G50" s="77"/>
      <c r="H50" s="77"/>
      <c r="I50" s="77"/>
      <c r="J50" s="77"/>
      <c r="K50" s="77"/>
      <c r="L50" s="77"/>
      <c r="M50" s="77"/>
      <c r="N50" s="77"/>
      <c r="O50" s="77"/>
      <c r="P50" s="77"/>
    </row>
    <row r="51" spans="1:16" x14ac:dyDescent="0.2">
      <c r="A51" s="77"/>
      <c r="B51" s="77"/>
      <c r="C51" s="77"/>
      <c r="D51" s="77"/>
      <c r="E51" s="77"/>
      <c r="F51" s="77"/>
      <c r="G51" s="77"/>
      <c r="H51" s="77"/>
      <c r="I51" s="77"/>
      <c r="J51" s="77"/>
      <c r="K51" s="77"/>
      <c r="L51" s="77"/>
      <c r="M51" s="77"/>
      <c r="N51" s="77"/>
      <c r="O51" s="77"/>
      <c r="P51" s="77"/>
    </row>
    <row r="52" spans="1:16" x14ac:dyDescent="0.2">
      <c r="A52" s="77"/>
      <c r="B52" s="77"/>
      <c r="C52" s="77"/>
      <c r="D52" s="77"/>
      <c r="E52" s="77"/>
      <c r="F52" s="77"/>
      <c r="G52" s="77"/>
      <c r="H52" s="77"/>
      <c r="I52" s="77"/>
      <c r="J52" s="77"/>
      <c r="K52" s="77"/>
      <c r="L52" s="77"/>
      <c r="M52" s="77"/>
      <c r="N52" s="77"/>
      <c r="O52" s="77"/>
      <c r="P52" s="77"/>
    </row>
    <row r="53" spans="1:16" x14ac:dyDescent="0.2">
      <c r="A53" s="77"/>
      <c r="B53" s="77"/>
      <c r="C53" s="77"/>
      <c r="D53" s="77"/>
      <c r="E53" s="77"/>
      <c r="F53" s="77"/>
      <c r="G53" s="77"/>
      <c r="H53" s="77"/>
      <c r="I53" s="77"/>
      <c r="J53" s="77"/>
      <c r="K53" s="77"/>
      <c r="L53" s="77"/>
      <c r="M53" s="77"/>
      <c r="N53" s="77"/>
      <c r="O53" s="77"/>
      <c r="P53" s="77"/>
    </row>
    <row r="54" spans="1:16" x14ac:dyDescent="0.2">
      <c r="A54" s="77"/>
      <c r="B54" s="77"/>
      <c r="C54" s="77"/>
      <c r="D54" s="77"/>
      <c r="E54" s="77"/>
      <c r="F54" s="77"/>
      <c r="G54" s="77"/>
      <c r="H54" s="77"/>
      <c r="I54" s="77"/>
      <c r="J54" s="77"/>
      <c r="K54" s="77"/>
      <c r="L54" s="77"/>
      <c r="M54" s="77"/>
      <c r="N54" s="77"/>
      <c r="O54" s="77"/>
      <c r="P54" s="77"/>
    </row>
    <row r="55" spans="1:16" x14ac:dyDescent="0.2">
      <c r="A55" s="77"/>
      <c r="B55" s="77"/>
      <c r="C55" s="77"/>
      <c r="D55" s="77"/>
      <c r="E55" s="77"/>
      <c r="F55" s="77"/>
      <c r="G55" s="77"/>
      <c r="H55" s="77"/>
      <c r="I55" s="77"/>
      <c r="J55" s="77"/>
      <c r="K55" s="77"/>
      <c r="L55" s="77"/>
      <c r="M55" s="77"/>
      <c r="N55" s="77"/>
      <c r="O55" s="77"/>
      <c r="P55" s="77"/>
    </row>
    <row r="56" spans="1:16" x14ac:dyDescent="0.2">
      <c r="A56" s="77"/>
      <c r="B56" s="77"/>
      <c r="C56" s="77"/>
      <c r="D56" s="77"/>
      <c r="E56" s="77"/>
      <c r="F56" s="77"/>
      <c r="G56" s="77"/>
      <c r="H56" s="77"/>
      <c r="I56" s="77"/>
      <c r="J56" s="77"/>
      <c r="K56" s="77"/>
      <c r="L56" s="77"/>
      <c r="M56" s="77"/>
      <c r="N56" s="77"/>
      <c r="O56" s="77"/>
      <c r="P56" s="77"/>
    </row>
    <row r="57" spans="1:16" x14ac:dyDescent="0.2">
      <c r="A57" s="77"/>
      <c r="B57" s="77"/>
      <c r="C57" s="77"/>
      <c r="D57" s="77"/>
      <c r="E57" s="77"/>
      <c r="F57" s="77"/>
      <c r="G57" s="77"/>
      <c r="H57" s="77"/>
      <c r="I57" s="77"/>
      <c r="J57" s="77"/>
      <c r="K57" s="77"/>
      <c r="L57" s="77"/>
      <c r="M57" s="77"/>
      <c r="N57" s="77"/>
      <c r="O57" s="77"/>
      <c r="P57" s="77"/>
    </row>
    <row r="58" spans="1:16" x14ac:dyDescent="0.2">
      <c r="A58" s="77"/>
      <c r="B58" s="77"/>
      <c r="C58" s="77"/>
      <c r="D58" s="77"/>
      <c r="E58" s="77"/>
      <c r="F58" s="77"/>
      <c r="G58" s="77"/>
      <c r="H58" s="77"/>
      <c r="I58" s="77"/>
      <c r="J58" s="77"/>
      <c r="K58" s="77"/>
      <c r="L58" s="77"/>
      <c r="M58" s="77"/>
      <c r="N58" s="77"/>
      <c r="O58" s="77"/>
      <c r="P58" s="77"/>
    </row>
    <row r="59" spans="1:16" x14ac:dyDescent="0.2">
      <c r="A59" s="77"/>
      <c r="B59" s="77"/>
      <c r="C59" s="77"/>
      <c r="D59" s="77"/>
      <c r="E59" s="77"/>
      <c r="F59" s="77"/>
      <c r="G59" s="77"/>
      <c r="H59" s="77"/>
      <c r="I59" s="77"/>
      <c r="J59" s="77"/>
      <c r="K59" s="77"/>
      <c r="L59" s="77"/>
      <c r="M59" s="77"/>
      <c r="N59" s="77"/>
      <c r="O59" s="77"/>
      <c r="P59" s="77"/>
    </row>
    <row r="60" spans="1:16" x14ac:dyDescent="0.2">
      <c r="A60" s="77"/>
      <c r="B60" s="77"/>
      <c r="C60" s="77"/>
      <c r="D60" s="77"/>
      <c r="E60" s="77"/>
      <c r="F60" s="77"/>
      <c r="G60" s="77"/>
      <c r="H60" s="77"/>
      <c r="I60" s="77"/>
      <c r="J60" s="77"/>
      <c r="K60" s="77"/>
      <c r="L60" s="77"/>
      <c r="M60" s="77"/>
      <c r="N60" s="77"/>
      <c r="O60" s="77"/>
      <c r="P60" s="77"/>
    </row>
    <row r="61" spans="1:16" x14ac:dyDescent="0.2">
      <c r="A61" s="77"/>
      <c r="B61" s="77"/>
      <c r="C61" s="77"/>
      <c r="D61" s="77"/>
      <c r="E61" s="77"/>
      <c r="F61" s="77"/>
      <c r="G61" s="77"/>
      <c r="H61" s="77"/>
      <c r="I61" s="77"/>
      <c r="J61" s="77"/>
      <c r="K61" s="77"/>
      <c r="L61" s="77"/>
      <c r="M61" s="77"/>
      <c r="N61" s="77"/>
      <c r="O61" s="77"/>
      <c r="P61" s="77"/>
    </row>
    <row r="62" spans="1:16" x14ac:dyDescent="0.2">
      <c r="O62" s="40"/>
      <c r="P62" s="40"/>
    </row>
    <row r="63" spans="1:16" x14ac:dyDescent="0.2">
      <c r="O63" s="40"/>
      <c r="P63" s="40"/>
    </row>
    <row r="64" spans="1:16"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OTCPK:OTCM/explorer/revenue_proj" xr:uid="{F839210E-FC70-114C-8F30-999D2E9167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2023-11-09T05:19:41Z</dcterms:modified>
</cp:coreProperties>
</file>