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6FE1CA4F-A969-6F49-BF3C-97ADFE20395C}"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95" i="1" l="1"/>
  <c r="AH106" i="1"/>
  <c r="AG106" i="1"/>
  <c r="AF106" i="1"/>
  <c r="AE106" i="1"/>
  <c r="AD106" i="1"/>
  <c r="AL8" i="1"/>
  <c r="AK8" i="1"/>
  <c r="AJ8" i="1"/>
  <c r="AD35" i="1" a="1"/>
  <c r="AD35" i="1" s="1"/>
  <c r="AD36" i="1" s="1"/>
  <c r="AD34" i="1" a="1"/>
  <c r="AD34" i="1" s="1"/>
  <c r="AJ23" i="1"/>
  <c r="AE118" i="1" a="1"/>
  <c r="AE118" i="1" s="1"/>
  <c r="AH107" i="1"/>
  <c r="AG107" i="1"/>
  <c r="AF107" i="1"/>
  <c r="AE107" i="1"/>
  <c r="AD107" i="1"/>
  <c r="L5" i="1"/>
  <c r="M5" i="1"/>
  <c r="N5" i="1"/>
  <c r="O5" i="1"/>
  <c r="P5" i="1"/>
  <c r="Q5" i="1"/>
  <c r="R5" i="1"/>
  <c r="S5" i="1"/>
  <c r="T5" i="1"/>
  <c r="U5" i="1"/>
  <c r="V5" i="1"/>
  <c r="W5" i="1"/>
  <c r="X5" i="1"/>
  <c r="Y5" i="1"/>
  <c r="Z5" i="1"/>
  <c r="AA5" i="1"/>
  <c r="AI5" i="1" s="1"/>
  <c r="AB5" i="1"/>
  <c r="AC5" i="1"/>
  <c r="AD110" i="1"/>
  <c r="AE110" i="1"/>
  <c r="AF110" i="1"/>
  <c r="AG110" i="1"/>
  <c r="B106" i="1"/>
  <c r="J106" i="1"/>
  <c r="R106" i="1"/>
  <c r="Z106" i="1"/>
  <c r="AE31" i="1"/>
  <c r="AF31" i="1"/>
  <c r="AG31" i="1"/>
  <c r="AH31" i="1"/>
  <c r="AD31" i="1"/>
  <c r="AE22" i="1"/>
  <c r="AF22" i="1"/>
  <c r="AG22" i="1"/>
  <c r="AH22" i="1"/>
  <c r="AD22" i="1"/>
  <c r="AD30" i="1"/>
  <c r="AE30" i="1"/>
  <c r="AF30" i="1"/>
  <c r="AG30" i="1"/>
  <c r="AH30" i="1"/>
  <c r="AD21" i="1"/>
  <c r="AE21" i="1"/>
  <c r="AF21" i="1"/>
  <c r="AG21" i="1"/>
  <c r="AH21" i="1"/>
  <c r="AK102" i="1" a="1"/>
  <c r="AK102" i="1" s="1"/>
  <c r="AL23" i="1" s="1"/>
  <c r="AK96" i="1" a="1"/>
  <c r="AK96" i="1" s="1"/>
  <c r="AE116" i="1"/>
  <c r="AI20" i="1"/>
  <c r="AI17" i="1"/>
  <c r="AL14" i="1"/>
  <c r="AK14" i="1"/>
  <c r="AJ14" i="1"/>
  <c r="AI14" i="1"/>
  <c r="AL11" i="1"/>
  <c r="AK11" i="1"/>
  <c r="AJ11" i="1"/>
  <c r="AI11" i="1"/>
  <c r="AI8" i="1"/>
  <c r="AL5" i="1"/>
  <c r="AK5" i="1"/>
  <c r="AJ5" i="1"/>
  <c r="AE113"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6" i="1"/>
  <c r="AK87" i="1"/>
  <c r="AK100" i="1" s="1"/>
  <c r="AE114" i="1" s="1"/>
  <c r="AK91" i="1"/>
  <c r="AK90" i="1"/>
  <c r="AK92" i="1" s="1"/>
  <c r="C106" i="1" s="1"/>
  <c r="AK88"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0" i="1" l="1"/>
  <c r="Y106" i="1"/>
  <c r="Q106" i="1"/>
  <c r="I106" i="1"/>
  <c r="X106" i="1"/>
  <c r="H106" i="1"/>
  <c r="P106" i="1"/>
  <c r="W106" i="1"/>
  <c r="O106" i="1"/>
  <c r="G106" i="1"/>
  <c r="V106" i="1"/>
  <c r="N106" i="1"/>
  <c r="F106" i="1"/>
  <c r="AC106" i="1"/>
  <c r="U106" i="1"/>
  <c r="M106" i="1"/>
  <c r="E106" i="1"/>
  <c r="AB106" i="1"/>
  <c r="T106" i="1"/>
  <c r="L106" i="1"/>
  <c r="D106" i="1"/>
  <c r="AA106" i="1"/>
  <c r="S106" i="1"/>
  <c r="K106" i="1"/>
  <c r="AI107" i="1"/>
  <c r="AK23" i="1"/>
  <c r="AK108" i="1"/>
  <c r="AK20" i="1"/>
  <c r="AJ20" i="1"/>
  <c r="AL17" i="1"/>
  <c r="AJ17" i="1"/>
  <c r="AK17" i="1"/>
  <c r="AK89" i="1"/>
  <c r="AK93" i="1" s="1"/>
  <c r="AK104" i="1"/>
  <c r="AK103" i="1" s="1"/>
  <c r="AK101" i="1" l="1"/>
  <c r="AK98" i="1" l="1"/>
  <c r="AK106" i="1" s="1"/>
  <c r="AK110" i="1" s="1"/>
  <c r="AH109" i="1" s="1"/>
  <c r="AH110" i="1" s="1"/>
  <c r="AE112" i="1" s="1"/>
  <c r="AE115" i="1" s="1"/>
  <c r="AE117" i="1" s="1"/>
  <c r="AE119" i="1" l="1"/>
  <c r="AE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<sst xmlns="http://schemas.openxmlformats.org/spreadsheetml/2006/main" count="790" uniqueCount="169">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</sst>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7" xfId="0" applyNumberFormat="1" applyFont="1" applyBorder="1" applyAlignment="1">
      <alignment horizontal="center"/>
    </xf>
    <xf numFmtId="0" fontId="10" fillId="5" borderId="0" xfId="0" applyFont="1" applyFill="1" applyAlignment="1">
      <alignment horizontal="left" vertical="center" wrapText="1"/>
    </xf>
    <xf numFmtId="0" fontId="11" fillId="5" borderId="0" xfId="0" applyFont="1" applyFill="1" applyAlignment="1">
      <alignment horizontal="left" vertical="center" wrapText="1"/>
    </xf>
    <xf numFmtId="0" fontId="11"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9" fillId="0" borderId="10" xfId="0" applyNumberFormat="1" applyFont="1" applyBorder="1"/>
    <xf numFmtId="10" fontId="10" fillId="0" borderId="9" xfId="0" applyNumberFormat="1" applyFont="1" applyBorder="1" applyAlignment="1">
      <alignment horizontal="center"/>
    </xf>
    <xf numFmtId="0" fontId="17" fillId="7" borderId="8" xfId="0" applyFont="1" applyFill="1" applyBorder="1" applyAlignment="1">
      <alignment horizontal="center" vertical="center" wrapText="1"/>
    </xf>
    <xf numFmtId="9" fontId="10" fillId="0" borderId="9" xfId="0" applyNumberFormat="1" applyFont="1" applyBorder="1" applyAlignment="1">
      <alignment horizontal="center"/>
    </xf>
    <xf numFmtId="0" fontId="0" fillId="0" borderId="0" xfId="0" applyAlignment="1">
      <alignment vertical="center"/>
    </xf>
    <xf numFmtId="164" fontId="10" fillId="5" borderId="0" xfId="0" applyNumberFormat="1" applyFont="1" applyFill="1" applyAlignment="1">
      <alignment vertical="center"/>
    </xf>
    <xf numFmtId="10" fontId="11" fillId="5" borderId="0" xfId="0" applyNumberFormat="1" applyFont="1" applyFill="1" applyAlignment="1">
      <alignment vertical="center"/>
    </xf>
    <xf numFmtId="10" fontId="10" fillId="5" borderId="0" xfId="0" applyNumberFormat="1" applyFont="1" applyFill="1" applyAlignment="1">
      <alignment vertical="center"/>
    </xf>
    <xf numFmtId="39" fontId="10" fillId="5" borderId="0" xfId="0" applyNumberFormat="1" applyFont="1" applyFill="1" applyAlignment="1">
      <alignment vertical="center"/>
    </xf>
    <xf numFmtId="164" fontId="1" fillId="5" borderId="0" xfId="0" applyNumberFormat="1" applyFont="1" applyFill="1" applyAlignment="1">
      <alignment vertical="center"/>
    </xf>
    <xf numFmtId="164" fontId="11" fillId="5" borderId="0" xfId="0" applyNumberFormat="1" applyFont="1" applyFill="1" applyAlignment="1">
      <alignment vertical="center"/>
    </xf>
    <xf numFmtId="0" fontId="0" fillId="5" borderId="0" xfId="0" applyFill="1" applyAlignment="1">
      <alignment vertical="center"/>
    </xf>
    <xf numFmtId="10" fontId="11"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9" fillId="6" borderId="0" xfId="0" applyNumberFormat="1" applyFont="1" applyFill="1" applyAlignment="1">
      <alignment vertical="center"/>
    </xf>
    <xf numFmtId="9" fontId="16" fillId="5" borderId="0" xfId="0" applyNumberFormat="1" applyFont="1" applyFill="1" applyAlignment="1">
      <alignment vertical="center" wrapText="1"/>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1" fillId="3" borderId="0" xfId="0" applyNumberFormat="1" applyFont="1" applyFill="1" applyAlignment="1">
      <alignment vertical="center"/>
    </xf>
    <xf numFmtId="167" fontId="1" fillId="5" borderId="0" xfId="0" applyNumberFormat="1" applyFont="1" applyFill="1" applyAlignment="1">
      <alignment vertical="center"/>
    </xf>
    <xf numFmtId="9" fontId="11" fillId="3" borderId="0" xfId="1" applyFont="1" applyFill="1" applyBorder="1" applyAlignment="1">
      <alignment vertical="center"/>
    </xf>
    <xf numFmtId="0" fontId="11" fillId="3" borderId="0" xfId="0" applyFont="1" applyFill="1" applyAlignment="1">
      <alignment horizontal="right" vertical="center"/>
    </xf>
    <xf numFmtId="0" fontId="12" fillId="3" borderId="8" xfId="0" applyFont="1" applyFill="1" applyBorder="1" applyAlignment="1">
      <alignment horizontal="center" vertical="center" wrapText="1"/>
    </xf>
    <xf numFmtId="0" fontId="12" fillId="3" borderId="5" xfId="0" applyFont="1" applyFill="1" applyBorder="1" applyAlignment="1">
      <alignment horizontal="center" vertical="center" wrapText="1"/>
    </xf>
    <xf numFmtId="10" fontId="10" fillId="5" borderId="0" xfId="0" applyNumberFormat="1" applyFont="1" applyFill="1"/>
    <xf numFmtId="165" fontId="9"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1" fillId="4" borderId="0" xfId="0" applyFont="1" applyFill="1" applyAlignment="1">
      <alignment horizontal="center" vertical="center" wrapText="1"/>
    </xf>
    <xf numFmtId="0" fontId="1" fillId="3" borderId="0" xfId="0" applyFont="1" applyFill="1" applyAlignment="1">
      <alignment horizontal="center" vertical="center"/>
    </xf>
    <xf numFmtId="165" fontId="10"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p>
        </c:rich>
      </c:tx>
      <c:layout>
        <c:manualLayout>
          <c:xMode val="edge"/>
          <c:yMode val="edge"/>
          <c:x val="0.45812948962774991"/>
          <c:y val="2.51375565929179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77740863787374"/>
          <c:y val="0.14441678517051992"/>
          <c:w val="0.82810631229235876"/>
          <c:h val="0.63728956981845042"/>
        </c:manualLayout>
      </c:layout>
      <c:barChart>
        <c:barDir val="col"/>
        <c:grouping val="stack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1'!$B$4:$AH$4</c:f>
              <c:numCache>
                <c:formatCode>#,###,,;\(#,###,,\);\ \-\ \-</c:formatCode>
                <c:ptCount val="33"/>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pt idx="28">
                  <c:v>27261000000</c:v>
                </c:pt>
                <c:pt idx="29">
                  <c:v>29516000000</c:v>
                </c:pt>
                <c:pt idx="30">
                  <c:v>34565000000</c:v>
                </c:pt>
                <c:pt idx="31">
                  <c:v>39042000000</c:v>
                </c:pt>
                <c:pt idx="32">
                  <c:v>42404000000</c:v>
                </c:pt>
              </c:numCache>
            </c:numRef>
          </c:val>
          <c:extLst>
            <c:ext xmlns:c16="http://schemas.microsoft.com/office/drawing/2014/chart" uri="{C3380CC4-5D6E-409C-BE32-E72D297353CC}">
              <c16:uniqueId val="{00000000-0BDF-4B49-8E19-3495640D047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1'!$B$29:$AH$29</c:f>
              <c:numCache>
                <c:formatCode>#,###,,;\(#,###,,\);\ \-\ \-</c:formatCode>
                <c:ptCount val="33"/>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pt idx="28">
                  <c:v>7641000000</c:v>
                </c:pt>
                <c:pt idx="29">
                  <c:v>8493000000</c:v>
                </c:pt>
                <c:pt idx="30">
                  <c:v>10920000000</c:v>
                </c:pt>
                <c:pt idx="31">
                  <c:v>13587000000</c:v>
                </c:pt>
                <c:pt idx="32">
                  <c:v>15684000000</c:v>
                </c:pt>
              </c:numCache>
            </c:numRef>
          </c:val>
          <c:extLst>
            <c:ext xmlns:c16="http://schemas.microsoft.com/office/drawing/2014/chart" uri="{C3380CC4-5D6E-409C-BE32-E72D297353CC}">
              <c16:uniqueId val="{00000001-0BDF-4B49-8E19-3495640D047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1'!$B$108:$AH$108</c:f>
              <c:numCache>
                <c:formatCode>#,###,,;\(#,###,,\);\ \-\ \-</c:formatCode>
                <c:ptCount val="33"/>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pt idx="28">
                  <c:v>6761000000</c:v>
                </c:pt>
                <c:pt idx="29">
                  <c:v>8190000000</c:v>
                </c:pt>
                <c:pt idx="30">
                  <c:v>10823000000</c:v>
                </c:pt>
                <c:pt idx="31">
                  <c:v>13455000000</c:v>
                </c:pt>
                <c:pt idx="32">
                  <c:v>16152000000</c:v>
                </c:pt>
              </c:numCache>
            </c:numRef>
          </c:val>
          <c:extLst>
            <c:ext xmlns:c16="http://schemas.microsoft.com/office/drawing/2014/chart" uri="{C3380CC4-5D6E-409C-BE32-E72D297353CC}">
              <c16:uniqueId val="{00000002-0BDF-4B49-8E19-3495640D0471}"/>
            </c:ext>
          </c:extLst>
        </c:ser>
        <c:dLbls>
          <c:showLegendKey val="0"/>
          <c:showVal val="0"/>
          <c:showCatName val="0"/>
          <c:showSerName val="0"/>
          <c:showPercent val="0"/>
          <c:showBubbleSize val="0"/>
        </c:dLbls>
        <c:gapWidth val="150"/>
        <c:overlap val="100"/>
        <c:axId val="1590849424"/>
        <c:axId val="1590851696"/>
      </c:barChart>
      <c:catAx>
        <c:axId val="15908494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590851696"/>
        <c:crosses val="autoZero"/>
        <c:auto val="1"/>
        <c:lblAlgn val="ctr"/>
        <c:lblOffset val="100"/>
        <c:noMultiLvlLbl val="0"/>
      </c:catAx>
      <c:valAx>
        <c:axId val="1590851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0849424"/>
        <c:crosses val="autoZero"/>
        <c:crossBetween val="between"/>
      </c:valAx>
      <c:spPr>
        <a:noFill/>
        <a:ln>
          <a:noFill/>
        </a:ln>
        <a:effectLst/>
      </c:spPr>
    </c:plotArea>
    <c:legend>
      <c:legendPos val="b"/>
      <c:layout>
        <c:manualLayout>
          <c:xMode val="edge"/>
          <c:yMode val="edge"/>
          <c:x val="0.34232798807125847"/>
          <c:y val="0.89917420820163907"/>
          <c:w val="0.31395332241631829"/>
          <c:h val="5.334678968642257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15875</xdr:colOff>
      <xdr:row>110</xdr:row>
      <xdr:rowOff>9524</xdr:rowOff>
    </xdr:from>
    <xdr:to>
      <xdr:col>37</xdr:col>
      <xdr:colOff>47625</xdr:colOff>
      <xdr:row>131</xdr:row>
      <xdr:rowOff>190499</xdr:rowOff>
    </xdr:to>
    <xdr:graphicFrame macro="">
      <xdr:nvGraphicFramePr>
        <xdr:cNvPr id="2" name="Chart 1">
          <a:extLst>
            <a:ext uri="{FF2B5EF4-FFF2-40B4-BE49-F238E27FC236}">
              <a16:creationId xmlns:a16="http://schemas.microsoft.com/office/drawing/2014/main" id="{76BD8A6F-A472-0791-79B3-250A68182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464.25</v>
    <v>1.5406</v>
    <v>3.5</v>
    <v>5.8330000000000005E-3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605.79999999999995</v>
    <v>Semiconductors &amp; Semiconductor Equipment</v>
    <v>Stock</v>
    <v>45239.708333333336</v>
    <v>0</v>
    <v>592.29999999999995</v>
    <v>241883000000</v>
    <v>ASML Holding NV</v>
    <v>ASML Holding NV</v>
    <v>595.1</v>
    <v>30.198599999999999</v>
    <v>600</v>
    <v>603.5</v>
    <v>403138400</v>
    <v>ASML</v>
    <v>ASML Holding NV (XAMS:ASML)</v>
    <v>564152</v>
    <v>508990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W86" activePane="bottomRight" state="frozen"/>
      <selection pane="topRight"/>
      <selection pane="bottomLeft"/>
      <selection pane="bottomRight" activeCell="AD130" sqref="AD130"/>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27261000000</v>
      </c>
      <c r="AE4" s="22">
        <v>29516000000</v>
      </c>
      <c r="AF4" s="22">
        <v>34565000000</v>
      </c>
      <c r="AG4" s="22">
        <v>39042000000</v>
      </c>
      <c r="AH4" s="22">
        <v>42404000000</v>
      </c>
      <c r="AI4" s="25" t="s">
        <v>106</v>
      </c>
      <c r="AJ4" s="25" t="s">
        <v>107</v>
      </c>
      <c r="AK4" s="25" t="s">
        <v>108</v>
      </c>
      <c r="AL4" s="18" t="s">
        <v>109</v>
      </c>
    </row>
    <row r="5" spans="1:38" ht="19" x14ac:dyDescent="0.25">
      <c r="A5" s="14" t="s">
        <v>93</v>
      </c>
      <c r="B5" s="1"/>
      <c r="C5" s="15">
        <f>(C4/B4)-1</f>
        <v>0.38771242423472319</v>
      </c>
      <c r="D5" s="15">
        <f>(D4/C4)-1</f>
        <v>0.30523124497240262</v>
      </c>
      <c r="E5" s="15">
        <f>(E4/D4)-1</f>
        <v>-4.1823205772379302E-2</v>
      </c>
      <c r="F5" s="15">
        <f t="shared" ref="F5:K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D5:AH5" si="19">(AD4/AC4)-1</f>
        <v>0.2875116891949332</v>
      </c>
      <c r="AE5" s="16">
        <f t="shared" si="19"/>
        <v>8.2718902461391686E-2</v>
      </c>
      <c r="AF5" s="16">
        <f t="shared" si="19"/>
        <v>0.17105976419569058</v>
      </c>
      <c r="AG5" s="16">
        <f t="shared" si="19"/>
        <v>0.12952408505713864</v>
      </c>
      <c r="AH5" s="16">
        <f t="shared" si="19"/>
        <v>8.6112391783207842E-2</v>
      </c>
      <c r="AI5" s="26">
        <f>(AC5+AB5+AA5)/3</f>
        <v>0.21723267494156651</v>
      </c>
      <c r="AJ5" s="26">
        <f>(AC21+AB21+AA21)/3</f>
        <v>0.32336582629238492</v>
      </c>
      <c r="AK5" s="26">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5" t="s">
        <v>110</v>
      </c>
      <c r="AJ7" s="69" t="s">
        <v>111</v>
      </c>
      <c r="AK7" s="69" t="s">
        <v>112</v>
      </c>
      <c r="AL7" s="70"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6">
        <f>AC8</f>
        <v>0.50539999999999996</v>
      </c>
      <c r="AJ8" s="26">
        <f>AD22</f>
        <v>0.34943692454422071</v>
      </c>
      <c r="AK8" s="26">
        <f>AD31</f>
        <v>0.28029052492571804</v>
      </c>
      <c r="AL8" s="17">
        <f>AD108/AD4</f>
        <v>0.24800997762371152</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5"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6">
        <f>(AC10+AB10+AA10)/3</f>
        <v>0.14931870488429119</v>
      </c>
      <c r="AJ11" s="26">
        <f>(AC14+AB14+AA14)/3</f>
        <v>4.0880988625067081E-2</v>
      </c>
      <c r="AK11" s="26">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5" t="s">
        <v>114</v>
      </c>
      <c r="AJ13" s="25" t="s">
        <v>115</v>
      </c>
      <c r="AK13" s="25"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6">
        <f>AC29/AC73</f>
        <v>0.62266763517501245</v>
      </c>
      <c r="AJ14" s="17">
        <f>AC29/AC55</f>
        <v>0.15113332084494938</v>
      </c>
      <c r="AK14" s="26">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5" t="s">
        <v>138</v>
      </c>
      <c r="AJ16" s="18" t="s">
        <v>154</v>
      </c>
      <c r="AK16" s="18" t="s">
        <v>155</v>
      </c>
      <c r="AL16" s="27"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4">
        <f>AK102/AC4</f>
        <v>11.423909244618248</v>
      </c>
      <c r="AK17" s="34">
        <f>AK102/AC26</f>
        <v>37.465807530862286</v>
      </c>
      <c r="AL17" s="35">
        <f>AK102/AC108</f>
        <v>33.747192186955004</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28" t="s">
        <v>157</v>
      </c>
      <c r="AJ19" s="18" t="s">
        <v>158</v>
      </c>
      <c r="AK19" s="18" t="s">
        <v>159</v>
      </c>
      <c r="AL19" s="27"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0">
        <v>9526000000</v>
      </c>
      <c r="AE20" s="30">
        <v>10868000000</v>
      </c>
      <c r="AF20" s="30">
        <v>13788000000</v>
      </c>
      <c r="AG20" s="30">
        <v>16803000000</v>
      </c>
      <c r="AH20" s="30">
        <v>19824000000</v>
      </c>
      <c r="AI20" s="29">
        <f>AC41-AC57-AC62</f>
        <v>3861800000</v>
      </c>
      <c r="AJ20" s="34">
        <f>AK102/AD4</f>
        <v>8.8728586625582331</v>
      </c>
      <c r="AK20" s="34">
        <f>AK102/AD29</f>
        <v>31.655935087030493</v>
      </c>
      <c r="AL20" s="35">
        <f>AK102/AD108</f>
        <v>35.776216536015383</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0.36181041014424387</v>
      </c>
      <c r="AE21" s="16">
        <f t="shared" ref="AE21" si="60">(AE20/AD20)-1</f>
        <v>0.14087759815242484</v>
      </c>
      <c r="AF21" s="16">
        <f t="shared" ref="AF21" si="61">(AF20/AE20)-1</f>
        <v>0.26867868973132136</v>
      </c>
      <c r="AG21" s="16">
        <f t="shared" ref="AG21" si="62">(AG20/AF20)-1</f>
        <v>0.21866840731070503</v>
      </c>
      <c r="AH21" s="16">
        <f t="shared" ref="AH21" si="63">(AH20/AG20)-1</f>
        <v>0.17978932333511866</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43">
        <f>AD20/AD4</f>
        <v>0.34943692454422071</v>
      </c>
      <c r="AE22" s="43">
        <f t="shared" ref="AE22:AH22" si="64">AE20/AE4</f>
        <v>0.36820707412928583</v>
      </c>
      <c r="AF22" s="43">
        <f t="shared" si="64"/>
        <v>0.39890062201649068</v>
      </c>
      <c r="AG22" s="43">
        <f t="shared" si="64"/>
        <v>0.43038266482249887</v>
      </c>
      <c r="AH22" s="43">
        <f t="shared" si="64"/>
        <v>0.4675030657485143</v>
      </c>
      <c r="AJ22" s="45" t="s">
        <v>168</v>
      </c>
      <c r="AK22" s="28" t="s">
        <v>165</v>
      </c>
      <c r="AL22" s="27"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J23" s="46">
        <f>SUM(AD30:AH30)/5</f>
        <v>0.23772105194512388</v>
      </c>
      <c r="AK23" s="44">
        <f>AC99*-1/AK102</f>
        <v>1.0582802429273657E-2</v>
      </c>
      <c r="AL23" s="37">
        <f>AD108/AK102</f>
        <v>2.7951530285303224E-2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2">
        <v>7641000000</v>
      </c>
      <c r="AE29" s="32">
        <v>8493000000</v>
      </c>
      <c r="AF29" s="32">
        <v>10920000000</v>
      </c>
      <c r="AG29" s="32">
        <v>13587000000</v>
      </c>
      <c r="AH29" s="32">
        <v>15684000000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0.39276730706135399</v>
      </c>
      <c r="AE30" s="16">
        <f t="shared" ref="AE30" si="79">(AE29/AD29)-1</f>
        <v>0.11150372987828816</v>
      </c>
      <c r="AF30" s="16">
        <f t="shared" ref="AF30" si="80">(AF29/AE29)-1</f>
        <v>0.28576474743906743</v>
      </c>
      <c r="AG30" s="16">
        <f t="shared" ref="AG30" si="81">(AG29/AF29)-1</f>
        <v>0.24423076923076925</v>
      </c>
      <c r="AH30" s="16">
        <f t="shared" ref="AH30" si="82">(AH29/AG29)-1</f>
        <v>0.15433870611614053</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1">
        <f>AD29/AD4</f>
        <v>0.28029052492571804</v>
      </c>
      <c r="AE31" s="31">
        <f t="shared" ref="AE31:AH31" si="83">AE29/AE4</f>
        <v>0.2877422414961377</v>
      </c>
      <c r="AF31" s="31">
        <f t="shared" si="83"/>
        <v>0.31592651526110227</v>
      </c>
      <c r="AG31" s="31">
        <f t="shared" si="83"/>
        <v>0.34800983556170278</v>
      </c>
      <c r="AH31" s="31">
        <f t="shared" si="83"/>
        <v>0.36987076690878218</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3">
        <v>19.36</v>
      </c>
      <c r="AE32" s="33">
        <v>21.52</v>
      </c>
      <c r="AF32" s="33">
        <v>27.67</v>
      </c>
      <c r="AG32" s="33">
        <v>34.43</v>
      </c>
      <c r="AH32" s="33">
        <v>39.75</v>
      </c>
    </row>
    <row r="33" spans="1:30"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30"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c r="AD34" s="1" cm="1">
        <f t="array" ref="AD34">_FV(A1,"Shares outstanding",TRUE)</f>
        <v>403138400</v>
      </c>
    </row>
    <row r="35" spans="1:30"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c r="AD35" s="1" cm="1">
        <f t="array" ref="AD35">_FV(A1,"Shares outstanding",TRUE)</f>
        <v>403138400</v>
      </c>
    </row>
    <row r="36" spans="1:30"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c r="AD36" s="24">
        <f>(AD35-AC35)/AC35</f>
        <v>-1.7693957115009748E-2</v>
      </c>
    </row>
    <row r="37" spans="1:30"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30"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30"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30"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30"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30"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30"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30"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30"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30"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30"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30"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row>
    <row r="84" spans="1:37" ht="19" customHeight="1"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D84" s="47"/>
      <c r="AE84" s="47"/>
      <c r="AF84" s="47"/>
      <c r="AG84" s="47"/>
      <c r="AH84" s="47"/>
      <c r="AI84" s="47"/>
      <c r="AJ84" s="75" t="s">
        <v>118</v>
      </c>
      <c r="AK84" s="76"/>
    </row>
    <row r="85" spans="1:37" ht="20"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D85" s="47"/>
      <c r="AE85" s="47"/>
      <c r="AF85" s="47"/>
      <c r="AG85" s="47"/>
      <c r="AH85" s="47"/>
      <c r="AI85" s="47"/>
      <c r="AJ85" s="77" t="s">
        <v>119</v>
      </c>
      <c r="AK85" s="77"/>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D86" s="47"/>
      <c r="AE86" s="47"/>
      <c r="AF86" s="47"/>
      <c r="AG86" s="47"/>
      <c r="AH86" s="47"/>
      <c r="AI86" s="47"/>
      <c r="AJ86" s="38" t="s">
        <v>101</v>
      </c>
      <c r="AK86" s="48">
        <f>AC18</f>
        <v>-44600000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D87" s="47"/>
      <c r="AE87" s="47"/>
      <c r="AF87" s="47"/>
      <c r="AG87" s="47"/>
      <c r="AH87" s="47"/>
      <c r="AI87" s="47"/>
      <c r="AJ87" s="38" t="s">
        <v>120</v>
      </c>
      <c r="AK87" s="48">
        <f>AC57</f>
        <v>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D88" s="47"/>
      <c r="AE88" s="47"/>
      <c r="AF88" s="47"/>
      <c r="AG88" s="47"/>
      <c r="AH88" s="47"/>
      <c r="AI88" s="47"/>
      <c r="AJ88" s="38" t="s">
        <v>121</v>
      </c>
      <c r="AK88" s="48">
        <f>AC62</f>
        <v>3514200000</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D89" s="47"/>
      <c r="AE89" s="47"/>
      <c r="AF89" s="47"/>
      <c r="AG89" s="47"/>
      <c r="AH89" s="47"/>
      <c r="AI89" s="47"/>
      <c r="AJ89" s="39" t="s">
        <v>122</v>
      </c>
      <c r="AK89" s="49">
        <f>AK86/(AK87+AK88)</f>
        <v>-1.2691366456092425E-2</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D90" s="47"/>
      <c r="AE90" s="47"/>
      <c r="AF90" s="47"/>
      <c r="AG90" s="47"/>
      <c r="AH90" s="47"/>
      <c r="AI90" s="47"/>
      <c r="AJ90" s="38" t="s">
        <v>123</v>
      </c>
      <c r="AK90" s="48">
        <f>AC28</f>
        <v>969900000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D91" s="47"/>
      <c r="AE91" s="47"/>
      <c r="AF91" s="47"/>
      <c r="AG91" s="47"/>
      <c r="AH91" s="47"/>
      <c r="AI91" s="47"/>
      <c r="AJ91" s="38" t="s">
        <v>19</v>
      </c>
      <c r="AK91" s="48">
        <f>AC26</f>
        <v>6456100000</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D92" s="47"/>
      <c r="AE92" s="47"/>
      <c r="AF92" s="47"/>
      <c r="AG92" s="47"/>
      <c r="AH92" s="47"/>
      <c r="AI92" s="47"/>
      <c r="AJ92" s="39" t="s">
        <v>124</v>
      </c>
      <c r="AK92" s="49">
        <f>AK90/AK91</f>
        <v>0.15023001502455041</v>
      </c>
    </row>
    <row r="93" spans="1:37" ht="19" customHeight="1"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D93" s="47"/>
      <c r="AE93" s="47"/>
      <c r="AF93" s="47"/>
      <c r="AG93" s="47"/>
      <c r="AH93" s="47"/>
      <c r="AI93" s="47"/>
      <c r="AJ93" s="39" t="s">
        <v>125</v>
      </c>
      <c r="AK93" s="49">
        <f>AK89*(1-AK92)</f>
        <v>-1.0784742282711585E-2</v>
      </c>
    </row>
    <row r="94" spans="1:37" ht="20" customHeight="1"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D94" s="47"/>
      <c r="AE94" s="47"/>
      <c r="AF94" s="47"/>
      <c r="AG94" s="47"/>
      <c r="AH94" s="47"/>
      <c r="AI94" s="47"/>
      <c r="AJ94" s="77" t="s">
        <v>126</v>
      </c>
      <c r="AK94" s="77"/>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D95" s="47"/>
      <c r="AE95" s="47"/>
      <c r="AF95" s="47"/>
      <c r="AG95" s="47"/>
      <c r="AH95" s="47"/>
      <c r="AI95" s="47"/>
      <c r="AJ95" s="38" t="s">
        <v>103</v>
      </c>
      <c r="AK95" s="71">
        <f>'[1]US Treasury Bonds'!$C$8</f>
        <v>4.5710000000000001E-2</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D96" s="47"/>
      <c r="AE96" s="47"/>
      <c r="AF96" s="47"/>
      <c r="AG96" s="47"/>
      <c r="AH96" s="47"/>
      <c r="AI96" s="47"/>
      <c r="AJ96" s="38" t="s">
        <v>127</v>
      </c>
      <c r="AK96" s="51" cm="1">
        <f t="array" ref="AK96">_FV(A1,"Beta")</f>
        <v>1.5406</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D97" s="47"/>
      <c r="AE97" s="47"/>
      <c r="AF97" s="47"/>
      <c r="AG97" s="47"/>
      <c r="AH97" s="47"/>
      <c r="AI97" s="47"/>
      <c r="AJ97" s="38" t="s">
        <v>128</v>
      </c>
      <c r="AK97" s="50">
        <v>8.4000000000000005E-2</v>
      </c>
    </row>
    <row r="98" spans="1:37" ht="19" customHeight="1"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D98" s="47"/>
      <c r="AE98" s="47"/>
      <c r="AF98" s="47"/>
      <c r="AG98" s="47"/>
      <c r="AH98" s="47"/>
      <c r="AI98" s="47"/>
      <c r="AJ98" s="39" t="s">
        <v>129</v>
      </c>
      <c r="AK98" s="49">
        <f>(AK95)+((AK96)*(AK97-AK95))</f>
        <v>0.104699574</v>
      </c>
    </row>
    <row r="99" spans="1:37" ht="20"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D99" s="47"/>
      <c r="AE99" s="47"/>
      <c r="AF99" s="47"/>
      <c r="AG99" s="47"/>
      <c r="AH99" s="47"/>
      <c r="AI99" s="47"/>
      <c r="AJ99" s="77" t="s">
        <v>130</v>
      </c>
      <c r="AK99" s="77"/>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D100" s="47"/>
      <c r="AE100" s="47"/>
      <c r="AF100" s="47"/>
      <c r="AG100" s="47"/>
      <c r="AH100" s="47"/>
      <c r="AI100" s="47"/>
      <c r="AJ100" s="38" t="s">
        <v>131</v>
      </c>
      <c r="AK100" s="48">
        <f>AK87+AK88</f>
        <v>3514200000</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D101" s="47"/>
      <c r="AE101" s="47"/>
      <c r="AF101" s="47"/>
      <c r="AG101" s="47"/>
      <c r="AH101" s="47"/>
      <c r="AI101" s="47"/>
      <c r="AJ101" s="39" t="s">
        <v>132</v>
      </c>
      <c r="AK101" s="49">
        <f>AK100/AK104</f>
        <v>1.432045679412805E-2</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D102" s="47"/>
      <c r="AE102" s="47"/>
      <c r="AF102" s="47"/>
      <c r="AG102" s="47"/>
      <c r="AH102" s="47"/>
      <c r="AI102" s="47"/>
      <c r="AJ102" s="38" t="s">
        <v>133</v>
      </c>
      <c r="AK102" s="52" cm="1">
        <f t="array" ref="AK102">_FV(A1,"Market cap",TRUE)</f>
        <v>241883000000</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D103" s="47"/>
      <c r="AE103" s="47"/>
      <c r="AF103" s="47"/>
      <c r="AG103" s="47"/>
      <c r="AH103" s="47"/>
      <c r="AI103" s="47"/>
      <c r="AJ103" s="39" t="s">
        <v>134</v>
      </c>
      <c r="AK103" s="49">
        <f>AK102/AK104</f>
        <v>0.98567954320587192</v>
      </c>
    </row>
    <row r="104" spans="1:37" ht="19" customHeight="1"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D104" s="47"/>
      <c r="AE104" s="47"/>
      <c r="AF104" s="47"/>
      <c r="AG104" s="47"/>
      <c r="AH104" s="47"/>
      <c r="AI104" s="47"/>
      <c r="AJ104" s="39" t="s">
        <v>135</v>
      </c>
      <c r="AK104" s="53">
        <f>AK100+AK102</f>
        <v>245397200000</v>
      </c>
    </row>
    <row r="105" spans="1:37" ht="21" customHeight="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D105" s="79" t="s">
        <v>113</v>
      </c>
      <c r="AE105" s="79"/>
      <c r="AF105" s="79"/>
      <c r="AG105" s="79"/>
      <c r="AH105" s="79"/>
      <c r="AI105" s="47"/>
      <c r="AJ105" s="77" t="s">
        <v>136</v>
      </c>
      <c r="AK105" s="77"/>
    </row>
    <row r="106" spans="1:37" ht="21" thickTop="1" x14ac:dyDescent="0.25">
      <c r="A106" s="14" t="s">
        <v>161</v>
      </c>
      <c r="B106" s="1">
        <f t="shared" ref="B106:AC106" si="133">(B23*(1-$AK$92))+B78+B89+B82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 t="shared" si="133"/>
        <v>7267099741.3299055</v>
      </c>
      <c r="AD106" s="72">
        <f>AD108/AD4</f>
        <v>0.24800997762371152</v>
      </c>
      <c r="AE106" s="72">
        <f>AE108/AE4</f>
        <v>0.27747662284862445</v>
      </c>
      <c r="AF106" s="72">
        <f>AF108/AF4</f>
        <v>0.31312020830319687</v>
      </c>
      <c r="AG106" s="72">
        <f>AG108/AG4</f>
        <v>0.3446288612263716</v>
      </c>
      <c r="AH106" s="72">
        <f>AH108/AH4</f>
        <v>0.38090746156023014</v>
      </c>
      <c r="AI106" s="73" t="s">
        <v>166</v>
      </c>
      <c r="AJ106" s="40" t="s">
        <v>118</v>
      </c>
      <c r="AK106" s="55">
        <f>(AK101*AK93)+(AK103*AK98)</f>
        <v>0.10304578583827401</v>
      </c>
    </row>
    <row r="107" spans="1:37" ht="19" x14ac:dyDescent="0.25">
      <c r="A107" s="14" t="s">
        <v>162</v>
      </c>
      <c r="B107" s="1"/>
      <c r="C107" s="15">
        <f t="shared" ref="C107:AC107" si="134">(C108/B108)-1</f>
        <v>-0.8009824268767608</v>
      </c>
      <c r="D107" s="15">
        <f t="shared" si="134"/>
        <v>-21.832079824350117</v>
      </c>
      <c r="E107" s="15">
        <f t="shared" si="134"/>
        <v>1.6594573719174357</v>
      </c>
      <c r="F107" s="15">
        <f t="shared" si="134"/>
        <v>-0.52591351736719194</v>
      </c>
      <c r="G107" s="15">
        <f t="shared" si="134"/>
        <v>-1.744870646716107</v>
      </c>
      <c r="H107" s="15">
        <f t="shared" si="134"/>
        <v>-11.913888658073057</v>
      </c>
      <c r="I107" s="15">
        <f t="shared" si="134"/>
        <v>-0.66979189736365963</v>
      </c>
      <c r="J107" s="15">
        <f t="shared" si="134"/>
        <v>-3.26949536002674</v>
      </c>
      <c r="K107" s="15">
        <f t="shared" si="134"/>
        <v>-0.59701276650847013</v>
      </c>
      <c r="L107" s="15">
        <f t="shared" si="134"/>
        <v>2.6237406549827647</v>
      </c>
      <c r="M107" s="15">
        <f t="shared" si="134"/>
        <v>-0.36278011504110608</v>
      </c>
      <c r="N107" s="15">
        <f t="shared" si="134"/>
        <v>0.20933002743700557</v>
      </c>
      <c r="O107" s="15">
        <f t="shared" si="134"/>
        <v>-0.95732894849008021</v>
      </c>
      <c r="P107" s="15">
        <f t="shared" si="134"/>
        <v>-1.3427722668223172</v>
      </c>
      <c r="Q107" s="15">
        <f t="shared" si="134"/>
        <v>-113.76164002779709</v>
      </c>
      <c r="R107" s="15">
        <f t="shared" si="134"/>
        <v>1.1810654242469063</v>
      </c>
      <c r="S107" s="15">
        <f t="shared" si="134"/>
        <v>-0.70391095549017768</v>
      </c>
      <c r="T107" s="15">
        <f t="shared" si="134"/>
        <v>0.60202656019177692</v>
      </c>
      <c r="U107" s="15">
        <f t="shared" si="134"/>
        <v>-0.20896054059656721</v>
      </c>
      <c r="V107" s="15">
        <f t="shared" si="134"/>
        <v>1.4891065011581777</v>
      </c>
      <c r="W107" s="15">
        <f t="shared" si="134"/>
        <v>-0.18849012102605311</v>
      </c>
      <c r="X107" s="15">
        <f t="shared" si="134"/>
        <v>7.4125548768849026E-2</v>
      </c>
      <c r="Y107" s="15">
        <f t="shared" si="134"/>
        <v>0.7098431209218381</v>
      </c>
      <c r="Z107" s="15">
        <f t="shared" si="134"/>
        <v>-2.9514452744397568E-2</v>
      </c>
      <c r="AA107" s="15">
        <f t="shared" si="134"/>
        <v>0.51717213971972398</v>
      </c>
      <c r="AB107" s="15">
        <f t="shared" si="134"/>
        <v>1.7311955442814604</v>
      </c>
      <c r="AC107" s="15">
        <f t="shared" si="134"/>
        <v>-0.2764120942910504</v>
      </c>
      <c r="AD107" s="56">
        <f>(AD108/AC108)-1</f>
        <v>-5.6714335542378813E-2</v>
      </c>
      <c r="AE107" s="56">
        <f>(AE108/AD108)-1</f>
        <v>0.2113592663807129</v>
      </c>
      <c r="AF107" s="56">
        <f>(AF108/AE108)-1</f>
        <v>0.32148962148962146</v>
      </c>
      <c r="AG107" s="56">
        <f>(AG108/AF108)-1</f>
        <v>0.24318580800147838</v>
      </c>
      <c r="AH107" s="56">
        <f>(AH108/AG108)-1</f>
        <v>0.20044593088071339</v>
      </c>
      <c r="AI107" s="57">
        <f>SUM(AD107:AH107)/5</f>
        <v>0.18395325824202946</v>
      </c>
      <c r="AJ107" s="80" t="s">
        <v>140</v>
      </c>
      <c r="AK107" s="80"/>
    </row>
    <row r="108" spans="1:37" ht="20" customHeight="1" x14ac:dyDescent="0.25">
      <c r="A108" s="3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58">
        <v>6761000000</v>
      </c>
      <c r="AE108" s="58">
        <v>8190000000</v>
      </c>
      <c r="AF108" s="58">
        <v>10823000000</v>
      </c>
      <c r="AG108" s="58">
        <v>13455000000</v>
      </c>
      <c r="AH108" s="58">
        <v>16152000000</v>
      </c>
      <c r="AI108" s="54" t="s">
        <v>164</v>
      </c>
      <c r="AJ108" s="59" t="s">
        <v>141</v>
      </c>
      <c r="AK108" s="41">
        <f>(SUM(AD5:AH5)/5)</f>
        <v>0.1513853665384724</v>
      </c>
    </row>
    <row r="109" spans="1:37" ht="19" x14ac:dyDescent="0.2">
      <c r="AD109" s="74"/>
      <c r="AE109" s="74"/>
      <c r="AF109" s="74"/>
      <c r="AG109" s="74"/>
      <c r="AH109" s="58">
        <f>AH108*(1+AK109)/(AK110-AK109)</f>
        <v>212129326678.91669</v>
      </c>
      <c r="AI109" s="60" t="s">
        <v>142</v>
      </c>
      <c r="AJ109" s="61" t="s">
        <v>143</v>
      </c>
      <c r="AK109" s="42">
        <v>2.5000000000000001E-2</v>
      </c>
    </row>
    <row r="110" spans="1:37" ht="19" x14ac:dyDescent="0.2">
      <c r="AD110" s="58">
        <f t="shared" ref="AD110:AG110" si="135">AD109+AD108</f>
        <v>6761000000</v>
      </c>
      <c r="AE110" s="58">
        <f t="shared" si="135"/>
        <v>8190000000</v>
      </c>
      <c r="AF110" s="58">
        <f t="shared" si="135"/>
        <v>10823000000</v>
      </c>
      <c r="AG110" s="58">
        <f t="shared" si="135"/>
        <v>13455000000</v>
      </c>
      <c r="AH110" s="58">
        <f>AH109+AH108</f>
        <v>228281326678.91669</v>
      </c>
      <c r="AI110" s="60" t="s">
        <v>135</v>
      </c>
      <c r="AJ110" s="62" t="s">
        <v>144</v>
      </c>
      <c r="AK110" s="41">
        <f>AK106</f>
        <v>0.10304578583827401</v>
      </c>
    </row>
    <row r="111" spans="1:37" ht="19" x14ac:dyDescent="0.2">
      <c r="AD111" s="78" t="s">
        <v>145</v>
      </c>
      <c r="AE111" s="78"/>
      <c r="AF111" s="47"/>
      <c r="AG111" s="47"/>
      <c r="AH111" s="47"/>
      <c r="AI111" s="47"/>
      <c r="AJ111" s="47"/>
      <c r="AK111" s="47"/>
    </row>
    <row r="112" spans="1:37" ht="20" x14ac:dyDescent="0.2">
      <c r="AD112" s="63" t="s">
        <v>146</v>
      </c>
      <c r="AE112" s="52">
        <f>NPV(AK110,AD110,AE110,AF110,AG110,AH110)</f>
        <v>169812385653.78702</v>
      </c>
      <c r="AF112" s="47"/>
      <c r="AG112" s="47"/>
      <c r="AH112" s="47"/>
      <c r="AI112" s="47"/>
      <c r="AJ112" s="47"/>
      <c r="AK112" s="47"/>
    </row>
    <row r="113" spans="30:37" ht="20" x14ac:dyDescent="0.2">
      <c r="AD113" s="63" t="s">
        <v>147</v>
      </c>
      <c r="AE113" s="52">
        <f>AC41</f>
        <v>7376000000</v>
      </c>
      <c r="AF113" s="47"/>
      <c r="AG113" s="47"/>
      <c r="AH113" s="47"/>
      <c r="AI113" s="47"/>
      <c r="AJ113" s="47"/>
      <c r="AK113" s="47"/>
    </row>
    <row r="114" spans="30:37" ht="20" x14ac:dyDescent="0.2">
      <c r="AD114" s="63" t="s">
        <v>131</v>
      </c>
      <c r="AE114" s="52">
        <f>AK100</f>
        <v>3514200000</v>
      </c>
      <c r="AF114" s="47"/>
      <c r="AG114" s="47"/>
      <c r="AH114" s="47"/>
      <c r="AI114" s="47"/>
      <c r="AJ114" s="47"/>
      <c r="AK114" s="47"/>
    </row>
    <row r="115" spans="30:37" ht="20" x14ac:dyDescent="0.2">
      <c r="AD115" s="63" t="s">
        <v>148</v>
      </c>
      <c r="AE115" s="52">
        <f>AE112+AE113-AE114</f>
        <v>173674185653.78702</v>
      </c>
      <c r="AF115" s="47"/>
      <c r="AG115" s="47"/>
      <c r="AH115" s="47"/>
      <c r="AI115" s="47"/>
      <c r="AJ115" s="47"/>
      <c r="AK115" s="47"/>
    </row>
    <row r="116" spans="30:37" ht="20" x14ac:dyDescent="0.2">
      <c r="AD116" s="63" t="s">
        <v>149</v>
      </c>
      <c r="AE116" s="63">
        <f>AC35*(1+(5*AI17))</f>
        <v>389882549.20781785</v>
      </c>
      <c r="AF116" s="47"/>
      <c r="AG116" s="47"/>
      <c r="AH116" s="47"/>
      <c r="AI116" s="47"/>
      <c r="AJ116" s="47"/>
      <c r="AK116" s="47"/>
    </row>
    <row r="117" spans="30:37" ht="20" x14ac:dyDescent="0.2">
      <c r="AD117" s="64" t="s">
        <v>150</v>
      </c>
      <c r="AE117" s="65">
        <f>AE115/AE116</f>
        <v>445.45257541448467</v>
      </c>
      <c r="AF117" s="47"/>
      <c r="AG117" s="47"/>
      <c r="AH117" s="47"/>
      <c r="AI117" s="47"/>
      <c r="AJ117" s="47"/>
      <c r="AK117" s="47"/>
    </row>
    <row r="118" spans="30:37" ht="20" x14ac:dyDescent="0.2">
      <c r="AD118" s="63" t="s">
        <v>151</v>
      </c>
      <c r="AE118" s="66" cm="1">
        <f t="array" ref="AE118">_FV(A1,"Price")</f>
        <v>603.5</v>
      </c>
      <c r="AF118" s="47"/>
      <c r="AG118" s="47"/>
      <c r="AH118" s="47"/>
      <c r="AI118" s="47"/>
      <c r="AJ118" s="47"/>
      <c r="AK118" s="47"/>
    </row>
    <row r="119" spans="30:37" ht="20" x14ac:dyDescent="0.2">
      <c r="AD119" s="64" t="s">
        <v>152</v>
      </c>
      <c r="AE119" s="67">
        <f>AE117/AE118-1</f>
        <v>-0.26188471348055564</v>
      </c>
      <c r="AF119" s="47"/>
      <c r="AG119" s="47"/>
      <c r="AH119" s="47"/>
      <c r="AI119" s="47"/>
      <c r="AJ119" s="47"/>
      <c r="AK119" s="47"/>
    </row>
    <row r="120" spans="30:37" ht="20" x14ac:dyDescent="0.2">
      <c r="AD120" s="64" t="s">
        <v>153</v>
      </c>
      <c r="AE120" s="68" t="str">
        <f>IF(AE117&gt;AE118,"BUY","SELL")</f>
        <v>SELL</v>
      </c>
      <c r="AF120" s="47"/>
      <c r="AG120" s="47"/>
      <c r="AH120" s="47"/>
      <c r="AI120" s="47"/>
      <c r="AJ120" s="47"/>
      <c r="AK120" s="47"/>
    </row>
  </sheetData>
  <mergeCells count="8">
    <mergeCell ref="AJ84:AK84"/>
    <mergeCell ref="AJ94:AK94"/>
    <mergeCell ref="AJ85:AK85"/>
    <mergeCell ref="AD111:AE111"/>
    <mergeCell ref="AD105:AH105"/>
    <mergeCell ref="AJ107:AK107"/>
    <mergeCell ref="AJ105:AK105"/>
    <mergeCell ref="AJ99:AK99"/>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8"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2023-02-07T13:34:36Z</dcterms:created>
  <dcterms:modified xsi:type="dcterms:W3CDTF">2023-11-09T23:11:55Z</dcterms:modified>
</cp:coreProperties>
</file>