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EDFF65E8-ECDC-CA41-BDC8-8BB2937433C1}" xr6:coauthVersionLast="47" xr6:coauthVersionMax="47" xr10:uidLastSave="{00000000-0000-0000-0000-000000000000}"/>
  <bookViews>
    <workbookView xWindow="0" yWindow="500" windowWidth="40960" windowHeight="211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5" i="1" l="1"/>
  <c r="AE105" i="1"/>
  <c r="AD105" i="1"/>
  <c r="AC105" i="1"/>
  <c r="AB105" i="1"/>
  <c r="AJ7" i="1"/>
  <c r="AI7" i="1"/>
  <c r="AH7" i="1"/>
  <c r="AB34" i="1" a="1"/>
  <c r="AB34" i="1" s="1"/>
  <c r="AB35" i="1" s="1"/>
  <c r="AB33" i="1" a="1"/>
  <c r="AB33" i="1" s="1"/>
  <c r="AF107" i="1" l="1"/>
  <c r="AE107" i="1"/>
  <c r="AD107" i="1"/>
  <c r="AC107" i="1"/>
  <c r="AB107" i="1"/>
  <c r="AB106" i="1" s="1"/>
  <c r="AB31" i="1"/>
  <c r="AF28" i="1"/>
  <c r="AF31" i="1" s="1"/>
  <c r="AE28" i="1"/>
  <c r="AE31" i="1" s="1"/>
  <c r="AD28" i="1"/>
  <c r="AD31" i="1" s="1"/>
  <c r="AC28" i="1"/>
  <c r="AC31" i="1" s="1"/>
  <c r="AB28" i="1"/>
  <c r="AB29" i="1" s="1"/>
  <c r="AF19" i="1"/>
  <c r="AE19" i="1"/>
  <c r="AE21" i="1"/>
  <c r="AD19" i="1"/>
  <c r="AD21" i="1" s="1"/>
  <c r="AC19" i="1"/>
  <c r="AB19" i="1"/>
  <c r="AF3" i="1"/>
  <c r="AE3" i="1"/>
  <c r="AD3" i="1"/>
  <c r="AC3" i="1"/>
  <c r="AB3" i="1"/>
  <c r="AB30" i="1" s="1"/>
  <c r="AC106" i="1" l="1"/>
  <c r="AD30" i="1"/>
  <c r="AC21" i="1"/>
  <c r="AC30" i="1"/>
  <c r="AD106" i="1"/>
  <c r="AE29" i="1"/>
  <c r="AE106" i="1"/>
  <c r="AF106" i="1"/>
  <c r="AF21" i="1"/>
  <c r="AF30" i="1"/>
  <c r="AF29" i="1"/>
  <c r="AE30" i="1"/>
  <c r="AC29" i="1"/>
  <c r="AD29" i="1"/>
  <c r="AB21" i="1"/>
  <c r="AF20" i="1"/>
  <c r="AD20" i="1"/>
  <c r="AC20" i="1"/>
  <c r="AB20" i="1"/>
  <c r="AE20" i="1"/>
  <c r="AC117" i="1" a="1"/>
  <c r="AC117" i="1" s="1"/>
  <c r="AI96" i="1" a="1"/>
  <c r="AI96" i="1" s="1"/>
  <c r="AI102" i="1" a="1"/>
  <c r="AI102" i="1" s="1"/>
  <c r="AJ22" i="1" s="1"/>
  <c r="AC112" i="1"/>
  <c r="AI91" i="1"/>
  <c r="AI90" i="1"/>
  <c r="AI88" i="1"/>
  <c r="AI87" i="1"/>
  <c r="AI86" i="1"/>
  <c r="AI89" i="1" s="1"/>
  <c r="AG19" i="1"/>
  <c r="AJ13" i="1"/>
  <c r="AI13" i="1"/>
  <c r="AH13" i="1"/>
  <c r="AG13" i="1"/>
  <c r="AG7" i="1"/>
  <c r="AF4" i="1"/>
  <c r="AE4" i="1"/>
  <c r="AD4" i="1"/>
  <c r="AC4" i="1"/>
  <c r="AB4" i="1"/>
  <c r="AA9" i="1"/>
  <c r="AG10" i="1" s="1"/>
  <c r="AA13" i="1"/>
  <c r="AH10" i="1" s="1"/>
  <c r="AA20" i="1"/>
  <c r="AA29" i="1"/>
  <c r="AA35" i="1"/>
  <c r="AA80" i="1"/>
  <c r="AI10" i="1" s="1"/>
  <c r="AA89" i="1"/>
  <c r="AJ10"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0" i="1" l="1"/>
  <c r="AI92" i="1"/>
  <c r="O105" i="1" s="1"/>
  <c r="AH22" i="1"/>
  <c r="AG106" i="1"/>
  <c r="AG4" i="1"/>
  <c r="AG16" i="1"/>
  <c r="AC115" i="1" s="1"/>
  <c r="AI4" i="1"/>
  <c r="AH4" i="1"/>
  <c r="AJ4" i="1"/>
  <c r="M105" i="1"/>
  <c r="U105" i="1"/>
  <c r="F105" i="1"/>
  <c r="N105" i="1"/>
  <c r="V105" i="1"/>
  <c r="G105" i="1"/>
  <c r="P105" i="1"/>
  <c r="J105" i="1"/>
  <c r="Z105" i="1"/>
  <c r="D105" i="1"/>
  <c r="H105" i="1"/>
  <c r="Q105" i="1"/>
  <c r="Y105" i="1"/>
  <c r="R105" i="1"/>
  <c r="L105" i="1"/>
  <c r="T105" i="1"/>
  <c r="B105" i="1"/>
  <c r="K105" i="1"/>
  <c r="AA105" i="1"/>
  <c r="AJ103" i="1"/>
  <c r="AJ19" i="1"/>
  <c r="AI19" i="1"/>
  <c r="AI22" i="1"/>
  <c r="AH19" i="1"/>
  <c r="AI107" i="1"/>
  <c r="AJ16" i="1"/>
  <c r="AI16" i="1"/>
  <c r="AH16" i="1"/>
  <c r="AC109" i="1"/>
  <c r="AI104" i="1"/>
  <c r="AI103" i="1" s="1"/>
  <c r="AC113" i="1"/>
  <c r="AB109" i="1"/>
  <c r="AI93" i="1" l="1"/>
  <c r="S105" i="1"/>
  <c r="X105" i="1"/>
  <c r="W105" i="1"/>
  <c r="E105" i="1"/>
  <c r="C105" i="1"/>
  <c r="I105" i="1"/>
  <c r="AD109" i="1"/>
  <c r="AI101" i="1"/>
  <c r="AE109" i="1" l="1"/>
  <c r="AI98" i="1" l="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<sst xmlns="http://schemas.openxmlformats.org/spreadsheetml/2006/main" count="671" uniqueCount="171">
  <si>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</si>
  <si>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</si>
  <si>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</si>
  <si>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</si>
  <si>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</si>
  <si>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</si>
  <si>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</si>
  <si>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</si>
  <si>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</si>
  <si>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</si>
  <si>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</si>
  <si>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</si>
  <si>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</si>
  <si>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</si>
  <si>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</si>
  <si>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</si>
  <si>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</si>
  <si>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</si>
  <si>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</si>
  <si>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</si>
  <si>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</si>
  <si>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</si>
  <si>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</si>
  <si>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</si>
  <si>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</si>
  <si>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</si>
  <si>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</si>
  <si>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</si>
  <si>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</si>
  <si>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</si>
  <si>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</si>
  <si>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</si>
  <si>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</si>
  <si>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</si>
  <si>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</si>
  <si>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</si>
  <si>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</si>
  <si>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</si>
  <si>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</si>
  <si>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</si>
  <si>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</si>
  <si>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</si>
  <si>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</si>
  <si>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</si>
  <si>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</si>
  <si>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</si>
  <si>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</si>
  <si>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</si>
  <si>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</si>
  <si>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</si>
  <si>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</si>
  <si>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</si>
  <si>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</si>
  <si>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</si>
  <si>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</si>
  <si>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</si>
  <si>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</si>
  <si>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</si>
  <si>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</si>
  <si>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</si>
  <si>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</si>
  <si>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</si>
  <si>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</si>
  <si>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</si>
  <si>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</si>
  <si>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</si>
  <si>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</si>
  <si>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</si>
  <si>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</si>
  <si>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</si>
  <si>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</si>
  <si>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</si>
  <si>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</si>
  <si>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</si>
  <si>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</si>
  <si>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</si>
  <si>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</si>
  <si>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</si>
  <si>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</si>
  <si>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</si>
  <si>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</si>
  <si>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</si>
  <si>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</si>
  <si>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</si>
  <si>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</si>
  <si>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</si>
  <si>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</si>
  <si>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</si>
  <si>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</si>
  <si>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</si>
  <si>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</si>
  <si>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</si>
  <si>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</si>
  <si>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</si>
  <si>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</si>
  <si>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</si>
  <si>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</si>
  <si>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</si>
  <si>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</si>
  <si>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</si>
  <si>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</si>
  <si>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</si>
  <si>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</si>
  <si>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</si>
  <si>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</si>
  <si>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</si>
  <si>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</si>
  <si>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</si>
  <si>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</si>
  <si>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</si>
  <si>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</si>
  <si>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</si>
  <si>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</si>
  <si>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</si>
  <si>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</si>
  <si>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</si>
  <si>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</si>
  <si>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</si>
  <si>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</si>
  <si>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</si>
  <si>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</si>
  <si>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</si>
  <si>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</si>
  <si>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</si>
  <si>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</si>
  <si>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</si>
  <si>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</si>
  <si>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</si>
  <si>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</si>
  <si>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</si>
  <si>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</si>
  <si>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</si>
  <si>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</si>
  <si>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</si>
  <si>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</si>
  <si>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</si>
  <si>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</si>
  <si>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</si>
  <si>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</si>
  <si>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</si>
  <si>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</si>
  <si>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</si>
  <si>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</si>
  <si>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</si>
  <si>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</si>
  <si>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</si>
  <si>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</si>
  <si>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</si>
  <si>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</si>
  <si>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</si>
  <si>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</si>
  <si>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</si>
  <si>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</si>
  <si>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</si>
  <si>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</si>
  <si>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</si>
  <si>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</si>
  <si>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</si>
  <si>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</si>
  <si>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</si>
  <si>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Forecast</t>
  </si>
  <si>
    <t>Unlevered FCF</t>
  </si>
  <si>
    <t>Levered FCF</t>
  </si>
  <si>
    <t>Forward P/S</t>
  </si>
  <si>
    <t>Forward P/E</t>
  </si>
  <si>
    <t>Forward P/FCF</t>
  </si>
  <si>
    <t>Dividend Yield</t>
  </si>
  <si>
    <t>5Y Fwd FCF CAGR</t>
  </si>
  <si>
    <t>Forward FCF Yield</t>
  </si>
  <si>
    <t>5Y Fwd Income CAGR</t>
  </si>
  <si>
    <t>Taiwan Treasury 10Y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</si>
</sst>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 fillId="7" borderId="0" xfId="0" applyFont="1" applyFill="1"/>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1" fillId="0" borderId="0" xfId="0" applyNumberFormat="1" applyFont="1"/>
    <xf numFmtId="9" fontId="11" fillId="0" borderId="0" xfId="0" applyNumberFormat="1" applyFont="1"/>
    <xf numFmtId="0" fontId="12" fillId="6" borderId="0" xfId="0" applyFont="1" applyFill="1" applyAlignment="1">
      <alignment horizontal="center" vertical="center" wrapText="1"/>
    </xf>
    <xf numFmtId="0" fontId="12" fillId="0" borderId="0" xfId="0" applyFont="1" applyAlignment="1">
      <alignment horizontal="center" vertical="center" wrapText="1"/>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0" fontId="0" fillId="7" borderId="0" xfId="0" applyFill="1" applyAlignment="1">
      <alignment vertical="center"/>
    </xf>
    <xf numFmtId="164" fontId="12" fillId="4" borderId="0" xfId="0" applyNumberFormat="1" applyFont="1"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 fillId="8" borderId="0" xfId="0" applyNumberFormat="1" applyFont="1" applyFill="1" applyAlignment="1">
      <alignment horizontal="center" vertical="center"/>
    </xf>
    <xf numFmtId="0" fontId="13" fillId="3" borderId="7" xfId="0" applyFont="1" applyFill="1" applyBorder="1" applyAlignment="1">
      <alignment horizontal="center" vertical="center" wrapText="1"/>
    </xf>
    <xf numFmtId="10" fontId="11" fillId="7" borderId="0" xfId="0" applyNumberFormat="1" applyFont="1" applyFill="1"/>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 Semiconductor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57954315116551"/>
          <c:y val="0.13337662066702535"/>
          <c:w val="0.82347849588108413"/>
          <c:h val="0.6325017065198859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pt idx="26">
                  <c:v>2095060606060.606</c:v>
                </c:pt>
                <c:pt idx="27">
                  <c:v>2550636363636.3633</c:v>
                </c:pt>
                <c:pt idx="28">
                  <c:v>2953969696969.6968</c:v>
                </c:pt>
                <c:pt idx="29">
                  <c:v>3121212121212.1211</c:v>
                </c:pt>
                <c:pt idx="30">
                  <c:v>3436363636363.6362</c:v>
                </c:pt>
              </c:numCache>
            </c:numRef>
          </c:val>
          <c:extLst>
            <c:ext xmlns:c16="http://schemas.microsoft.com/office/drawing/2014/chart" uri="{C3380CC4-5D6E-409C-BE32-E72D297353CC}">
              <c16:uniqueId val="{00000000-D626-2A47-A5E6-A54FDE2E435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18011756513</c:v>
                </c:pt>
                <c:pt idx="1">
                  <c:v>15315966554</c:v>
                </c:pt>
                <c:pt idx="2">
                  <c:v>24563030085</c:v>
                </c:pt>
                <c:pt idx="3">
                  <c:v>65106186584</c:v>
                </c:pt>
                <c:pt idx="4">
                  <c:v>14483183904</c:v>
                </c:pt>
                <c:pt idx="5">
                  <c:v>21647896464</c:v>
                </c:pt>
                <c:pt idx="6">
                  <c:v>47164689540</c:v>
                </c:pt>
                <c:pt idx="7">
                  <c:v>92456415240</c:v>
                </c:pt>
                <c:pt idx="8">
                  <c:v>93855039630</c:v>
                </c:pt>
                <c:pt idx="9">
                  <c:v>126990145084</c:v>
                </c:pt>
                <c:pt idx="10">
                  <c:v>109181419045</c:v>
                </c:pt>
                <c:pt idx="11">
                  <c:v>100206942175</c:v>
                </c:pt>
                <c:pt idx="12">
                  <c:v>89217800000</c:v>
                </c:pt>
                <c:pt idx="13">
                  <c:v>161605000000</c:v>
                </c:pt>
                <c:pt idx="14">
                  <c:v>134201300000</c:v>
                </c:pt>
                <c:pt idx="15">
                  <c:v>166158800000</c:v>
                </c:pt>
                <c:pt idx="16">
                  <c:v>183977600000</c:v>
                </c:pt>
                <c:pt idx="17">
                  <c:v>254301400000</c:v>
                </c:pt>
                <c:pt idx="18">
                  <c:v>302850900000</c:v>
                </c:pt>
                <c:pt idx="19">
                  <c:v>331713700000</c:v>
                </c:pt>
                <c:pt idx="20">
                  <c:v>344998300000</c:v>
                </c:pt>
                <c:pt idx="21">
                  <c:v>363052700000</c:v>
                </c:pt>
                <c:pt idx="22">
                  <c:v>353948000000</c:v>
                </c:pt>
                <c:pt idx="23">
                  <c:v>510744000000</c:v>
                </c:pt>
                <c:pt idx="24">
                  <c:v>592359200000</c:v>
                </c:pt>
                <c:pt idx="25">
                  <c:v>1016530249000</c:v>
                </c:pt>
                <c:pt idx="26">
                  <c:v>777393939393.93933</c:v>
                </c:pt>
                <c:pt idx="27">
                  <c:v>960454545454.54541</c:v>
                </c:pt>
                <c:pt idx="28">
                  <c:v>1137727272727.2727</c:v>
                </c:pt>
                <c:pt idx="29">
                  <c:v>1113151515151.5151</c:v>
                </c:pt>
                <c:pt idx="30">
                  <c:v>1228303030303.0303</c:v>
                </c:pt>
              </c:numCache>
            </c:numRef>
          </c:val>
          <c:extLst>
            <c:ext xmlns:c16="http://schemas.microsoft.com/office/drawing/2014/chart" uri="{C3380CC4-5D6E-409C-BE32-E72D297353CC}">
              <c16:uniqueId val="{00000001-D626-2A47-A5E6-A54FDE2E435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pt idx="26">
                  <c:v>361757575757.57574</c:v>
                </c:pt>
                <c:pt idx="27">
                  <c:v>743787878787.87878</c:v>
                </c:pt>
                <c:pt idx="28">
                  <c:v>936939393939.39392</c:v>
                </c:pt>
                <c:pt idx="29">
                  <c:v>786000000000</c:v>
                </c:pt>
                <c:pt idx="30">
                  <c:v>956848484848.48486</c:v>
                </c:pt>
              </c:numCache>
            </c:numRef>
          </c:val>
          <c:extLst>
            <c:ext xmlns:c16="http://schemas.microsoft.com/office/drawing/2014/chart" uri="{C3380CC4-5D6E-409C-BE32-E72D297353CC}">
              <c16:uniqueId val="{00000002-D626-2A47-A5E6-A54FDE2E435C}"/>
            </c:ext>
          </c:extLst>
        </c:ser>
        <c:dLbls>
          <c:showLegendKey val="0"/>
          <c:showVal val="0"/>
          <c:showCatName val="0"/>
          <c:showSerName val="0"/>
          <c:showPercent val="0"/>
          <c:showBubbleSize val="0"/>
        </c:dLbls>
        <c:gapWidth val="150"/>
        <c:overlap val="100"/>
        <c:axId val="1629822640"/>
        <c:axId val="1629705008"/>
      </c:barChart>
      <c:catAx>
        <c:axId val="16298226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705008"/>
        <c:crosses val="autoZero"/>
        <c:auto val="1"/>
        <c:lblAlgn val="ctr"/>
        <c:lblOffset val="100"/>
        <c:noMultiLvlLbl val="0"/>
      </c:catAx>
      <c:valAx>
        <c:axId val="16297050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822640"/>
        <c:crosses val="autoZero"/>
        <c:crossBetween val="between"/>
      </c:valAx>
      <c:spPr>
        <a:noFill/>
        <a:ln>
          <a:noFill/>
        </a:ln>
        <a:effectLst/>
      </c:spPr>
    </c:plotArea>
    <c:legend>
      <c:legendPos val="b"/>
      <c:layout>
        <c:manualLayout>
          <c:xMode val="edge"/>
          <c:yMode val="edge"/>
          <c:x val="0.34468885943712474"/>
          <c:y val="0.89695949683848619"/>
          <c:w val="0.31499520294736266"/>
          <c:h val="5.58817380134744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109</xdr:row>
      <xdr:rowOff>17462</xdr:rowOff>
    </xdr:from>
    <xdr:to>
      <xdr:col>35</xdr:col>
      <xdr:colOff>15875</xdr:colOff>
      <xdr:row>129</xdr:row>
      <xdr:rowOff>174624</xdr:rowOff>
    </xdr:to>
    <xdr:graphicFrame macro="">
      <xdr:nvGraphicFramePr>
        <xdr:cNvPr id="3" name="Chart 2">
          <a:extLst>
            <a:ext uri="{FF2B5EF4-FFF2-40B4-BE49-F238E27FC236}">
              <a16:creationId xmlns:a16="http://schemas.microsoft.com/office/drawing/2014/main" id="{9D54E5A5-787F-66FB-B492-CD3828521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387</v>
    <v>1.3841000000000001</v>
    <v>1</v>
    <v>1.799E-3</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557</v>
    <v>Semiconductors &amp; Semiconductor Equipment</v>
    <v>Stock</v>
    <v>45239.402743055558</v>
    <v>0</v>
    <v>551</v>
    <v>14444162990000</v>
    <v>Taiwan Semiconductor Manufacturing Co., Ltd.</v>
    <v>Taiwan Semiconductor Manufacturing Co., Ltd.</v>
    <v>551</v>
    <v>16.12</v>
    <v>556</v>
    <v>557</v>
    <v>25932070000</v>
    <v>2330</v>
    <v>Taiwan Semiconductor Manufacturing Co., Ltd. (XTAI:2330)</v>
    <v>13649525</v>
    <v>22695230</v>
    <v>1987</v>
  </rv>
  <rv s="2">
    <v>1</v>
  </rv>
  <rv s="0">
    <v>https://www.bing.com/financeapi/forcetrigger?t=a24kjc&amp;q=XNYS%3aTSM&amp;form=skydnc</v>
    <v>Learn more on Bing</v>
  </rv>
  <rv s="3">
    <v>5</v>
    <v>Taiwan Semiconductor Manufacturing Co., Ltd. (XNYS:TSM)</v>
    <v>2</v>
    <v>6</v>
    <v>Finance</v>
    <v>7</v>
    <v>en-US</v>
    <v>a24kjc</v>
    <v>268435456</v>
    <v>1</v>
    <v>Powered by Refinitiv</v>
    <v>110.69</v>
    <v>64.95</v>
    <v>1.0436000000000001</v>
    <v>-0.39</v>
    <v>-4.2389999999999997E-3</v>
    <v>0.05</v>
    <v>5.4569999999999998E-4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93.37</v>
    <v>Semiconductors &amp; Semiconductor Equipment</v>
    <v>Stock</v>
    <v>45239.964535693747</v>
    <v>3</v>
    <v>91.6</v>
    <v>448063400000</v>
    <v>Taiwan Semiconductor Manufacturing Co., Ltd.</v>
    <v>Taiwan Semiconductor Manufacturing Co., Ltd.</v>
    <v>92.63</v>
    <v>17.1677</v>
    <v>92</v>
    <v>91.61</v>
    <v>91.67</v>
    <v>5186414000</v>
    <v>TSM</v>
    <v>Taiwan Semiconductor Manufacturing Co., Ltd. (XNYS:TSM)</v>
    <v>8161707</v>
    <v>9411094</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9"/>
  <sheetViews>
    <sheetView tabSelected="1" zoomScale="80" zoomScaleNormal="80" workbookViewId="0">
      <pane xSplit="1" ySplit="1" topLeftCell="U84" activePane="bottomRight" state="frozen"/>
      <selection pane="topRight"/>
      <selection pane="bottomLeft"/>
      <selection pane="bottomRight" activeCell="AC128" sqref="AC128"/>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69137000000/$AJ$101</f>
        <v>2095060606060.606</v>
      </c>
      <c r="AC3" s="24">
        <f>84171000000/$AJ$101</f>
        <v>2550636363636.3633</v>
      </c>
      <c r="AD3" s="24">
        <f>97481000000/$AJ$101</f>
        <v>2953969696969.6968</v>
      </c>
      <c r="AE3" s="24">
        <f>103000000000/$AJ$101</f>
        <v>3121212121212.1211</v>
      </c>
      <c r="AF3" s="24">
        <f>113400000000/$AJ$101</f>
        <v>3436363636363.6362</v>
      </c>
      <c r="AG3" s="18" t="s">
        <v>108</v>
      </c>
      <c r="AH3" s="19" t="s">
        <v>109</v>
      </c>
      <c r="AI3" s="19" t="s">
        <v>110</v>
      </c>
      <c r="AJ3" s="19" t="s">
        <v>111</v>
      </c>
    </row>
    <row r="4" spans="1:36" ht="19" x14ac:dyDescent="0.25">
      <c r="A4" s="14" t="s">
        <v>93</v>
      </c>
      <c r="B4" s="45"/>
      <c r="C4" s="46">
        <f>(C3/B3)-1</f>
        <v>0.14269167753701462</v>
      </c>
      <c r="D4" s="46">
        <f>(D3/C3)-1</f>
        <v>0.4516735458392942</v>
      </c>
      <c r="E4" s="46">
        <f>(E3/D3)-1</f>
        <v>1.2743145641259042</v>
      </c>
      <c r="F4" s="46">
        <f t="shared" ref="F4:AF4" si="0">(F3/E3)-1</f>
        <v>-0.21655069111953185</v>
      </c>
      <c r="G4" s="46">
        <f t="shared" si="0"/>
        <v>0.24865014498486815</v>
      </c>
      <c r="H4" s="46">
        <f t="shared" si="0"/>
        <v>0.24642778619370009</v>
      </c>
      <c r="I4" s="46">
        <f t="shared" si="0"/>
        <v>0.27127869200966415</v>
      </c>
      <c r="J4" s="46">
        <f t="shared" si="0"/>
        <v>3.7807205884977435E-2</v>
      </c>
      <c r="K4" s="46">
        <f t="shared" si="0"/>
        <v>0.18699401684619166</v>
      </c>
      <c r="L4" s="46">
        <f t="shared" si="0"/>
        <v>1.6665747011531451E-2</v>
      </c>
      <c r="M4" s="46">
        <f t="shared" si="0"/>
        <v>3.5387533504990243E-2</v>
      </c>
      <c r="N4" s="46">
        <f t="shared" si="0"/>
        <v>-0.11471593392458146</v>
      </c>
      <c r="O4" s="46">
        <f t="shared" si="0"/>
        <v>0.41859328834369935</v>
      </c>
      <c r="P4" s="46">
        <f t="shared" si="0"/>
        <v>1.7978590253705296E-2</v>
      </c>
      <c r="Q4" s="46">
        <f t="shared" si="0"/>
        <v>0.18531162501879028</v>
      </c>
      <c r="R4" s="46">
        <f t="shared" si="0"/>
        <v>0.17932727751136057</v>
      </c>
      <c r="S4" s="46">
        <f t="shared" si="0"/>
        <v>0.2777735064446043</v>
      </c>
      <c r="T4" s="46">
        <f t="shared" si="0"/>
        <v>0.10576009228732297</v>
      </c>
      <c r="U4" s="46">
        <f t="shared" si="0"/>
        <v>0.12376425956936021</v>
      </c>
      <c r="V4" s="46">
        <f t="shared" si="0"/>
        <v>3.1156359701963066E-2</v>
      </c>
      <c r="W4" s="46">
        <f t="shared" si="0"/>
        <v>5.5163546176522305E-2</v>
      </c>
      <c r="X4" s="46">
        <f t="shared" si="0"/>
        <v>3.745242455169473E-2</v>
      </c>
      <c r="Y4" s="46">
        <f t="shared" si="0"/>
        <v>0.25163786761132445</v>
      </c>
      <c r="Z4" s="46">
        <f t="shared" si="0"/>
        <v>0.18531165285346862</v>
      </c>
      <c r="AA4" s="46">
        <f t="shared" si="0"/>
        <v>0.42614961556996755</v>
      </c>
      <c r="AB4" s="16">
        <f t="shared" si="0"/>
        <v>-7.4575438553961315E-2</v>
      </c>
      <c r="AC4" s="16">
        <f t="shared" si="0"/>
        <v>0.21745230484400535</v>
      </c>
      <c r="AD4" s="16">
        <f t="shared" si="0"/>
        <v>0.15813047249052525</v>
      </c>
      <c r="AE4" s="16">
        <f t="shared" si="0"/>
        <v>5.6616161098060225E-2</v>
      </c>
      <c r="AF4" s="16">
        <f t="shared" si="0"/>
        <v>0.10097087378640768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74" t="s">
        <v>113</v>
      </c>
      <c r="AI6" s="74" t="s">
        <v>114</v>
      </c>
      <c r="AJ6" s="74"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AB21</f>
        <v>0.6744145681762298</v>
      </c>
      <c r="AI7" s="20">
        <f>AB30</f>
        <v>0.37106035841879165</v>
      </c>
      <c r="AJ7" s="20">
        <f>AB107/AB3</f>
        <v>0.17267165193745751</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36">
        <f>AI102/AA3</f>
        <v>6.3802370021219197</v>
      </c>
      <c r="AI16" s="36">
        <f>AI102/AA28</f>
        <v>14.209280052619468</v>
      </c>
      <c r="AJ16" s="38">
        <f>AI102/AA107</f>
        <v>27.725372371312517</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163</v>
      </c>
      <c r="AI18" s="19" t="s">
        <v>164</v>
      </c>
      <c r="AJ18" s="19" t="s">
        <v>165</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40">
        <f>46627000000/$AJ$101</f>
        <v>1412939393939.3938</v>
      </c>
      <c r="AC19" s="40">
        <f>58458000000/$AJ$101</f>
        <v>1771454545454.5454</v>
      </c>
      <c r="AD19" s="40">
        <f>68190000000/$AJ$101</f>
        <v>2066363636363.6362</v>
      </c>
      <c r="AE19" s="40">
        <f>71728000000/$AJ$101</f>
        <v>2173575757575.7576</v>
      </c>
      <c r="AF19" s="40">
        <f>78874000000/$AJ$101</f>
        <v>2390121212121.2119</v>
      </c>
      <c r="AG19" s="26">
        <f>AA40-AA56-AA61</f>
        <v>698325653000</v>
      </c>
      <c r="AH19" s="36">
        <f>AI102/AB3</f>
        <v>6.8943890922371525</v>
      </c>
      <c r="AI19" s="37">
        <f>AI102/AB28</f>
        <v>18.580236168628677</v>
      </c>
      <c r="AJ19" s="38">
        <f>AI102/AB107</f>
        <v>39.927741553861622</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-0.11293478437658155</v>
      </c>
      <c r="AC20" s="16">
        <f t="shared" ref="AC20" si="5">(AC19/AB19)-1</f>
        <v>0.25373710511077285</v>
      </c>
      <c r="AD20" s="16">
        <f t="shared" ref="AD20" si="6">(AD19/AC19)-1</f>
        <v>0.16647849738273623</v>
      </c>
      <c r="AE20" s="16">
        <f t="shared" ref="AE20" si="7">(AE19/AD19)-1</f>
        <v>5.1884440533802589E-2</v>
      </c>
      <c r="AF20" s="16">
        <f t="shared" ref="AF20" si="8">(AF19/AE19)-1</f>
        <v>9.9626366272585143E-2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41">
        <f>AB19/AB3</f>
        <v>0.6744145681762298</v>
      </c>
      <c r="AC21" s="41">
        <f t="shared" ref="AC21:AF21" si="9">AC19/AC3</f>
        <v>0.69451473785508078</v>
      </c>
      <c r="AD21" s="41">
        <f t="shared" si="9"/>
        <v>0.69952093228424006</v>
      </c>
      <c r="AE21" s="41">
        <f t="shared" si="9"/>
        <v>0.69638834951456308</v>
      </c>
      <c r="AF21" s="41">
        <f t="shared" si="9"/>
        <v>0.69553791887125216</v>
      </c>
      <c r="AH21" s="49" t="s">
        <v>169</v>
      </c>
      <c r="AI21" s="18" t="s">
        <v>166</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H22" s="17">
        <f>SUM(AB29:AF29)/5</f>
        <v>5.3329918159131795E-2</v>
      </c>
      <c r="AI22" s="50">
        <f>(-1*AA98)/AI102</f>
        <v>1.9747366821980177E-2</v>
      </c>
      <c r="AJ22" s="39">
        <f>AB107/AI102</f>
        <v>2.5045243259026375E-2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42">
        <f>25654000000/$AJ$101</f>
        <v>777393939393.93933</v>
      </c>
      <c r="AC28" s="42">
        <f>31695000000/$AJ$101</f>
        <v>960454545454.54541</v>
      </c>
      <c r="AD28" s="42">
        <f>37545000000/$AJ$101</f>
        <v>1137727272727.2727</v>
      </c>
      <c r="AE28" s="42">
        <f>36734000000/$AJ$101</f>
        <v>1113151515151.5151</v>
      </c>
      <c r="AF28" s="42">
        <f>40534000000/$AJ$101</f>
        <v>1228303030303.0303</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-0.23524760806804157</v>
      </c>
      <c r="AC29" s="16">
        <f t="shared" ref="AC29" si="12">(AC28/AB28)-1</f>
        <v>0.23547984719731829</v>
      </c>
      <c r="AD29" s="16">
        <f t="shared" ref="AD29" si="13">(AD28/AC28)-1</f>
        <v>0.18457169900615233</v>
      </c>
      <c r="AE29" s="16">
        <f t="shared" ref="AE29" si="14">(AE28/AD28)-1</f>
        <v>-2.1600745771740537E-2</v>
      </c>
      <c r="AF29" s="16">
        <f t="shared" ref="AF29" si="15">(AF28/AE28)-1</f>
        <v>0.10344639843197045</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43">
        <f>AB28/AB3</f>
        <v>0.37106035841879165</v>
      </c>
      <c r="AC30" s="43">
        <f t="shared" ref="AC30:AF30" si="16">AC28/AC3</f>
        <v>0.37655487044231389</v>
      </c>
      <c r="AD30" s="43">
        <f t="shared" si="16"/>
        <v>0.38515197833423953</v>
      </c>
      <c r="AE30" s="43">
        <f t="shared" si="16"/>
        <v>0.35664077669902916</v>
      </c>
      <c r="AF30" s="43">
        <f t="shared" si="16"/>
        <v>0.3574426807760141</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44">
        <f>AB28/$AA$33</f>
        <v>149.90022116797735</v>
      </c>
      <c r="AC31" s="44">
        <f t="shared" ref="AC31:AF31" si="17">AC28/$AA$33</f>
        <v>185.19870234345686</v>
      </c>
      <c r="AD31" s="44">
        <f t="shared" si="17"/>
        <v>219.38114148872342</v>
      </c>
      <c r="AE31" s="44">
        <f t="shared" si="17"/>
        <v>214.64234522431124</v>
      </c>
      <c r="AF31" s="44">
        <f t="shared" si="17"/>
        <v>236.84632278875787</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8"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c r="AB33" s="1" cm="1">
        <f t="array" ref="AB33">_FV(AJ99,"Shares outstanding",TRUE)</f>
        <v>5186414000</v>
      </c>
    </row>
    <row r="34" spans="1:28"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c r="AB34" s="1" cm="1">
        <f t="array" ref="AB34">_FV(AJ99,"Shares outstanding",TRUE)</f>
        <v>5186414000</v>
      </c>
    </row>
    <row r="35" spans="1:28" ht="20" customHeight="1" x14ac:dyDescent="0.25">
      <c r="A35" s="14" t="s">
        <v>102</v>
      </c>
      <c r="B35" s="1"/>
      <c r="C35" s="22">
        <f>(C34-B34)/B34</f>
        <v>2.235835554819213E-2</v>
      </c>
      <c r="D35" s="22">
        <f t="shared" ref="D35:AB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c r="AB35" s="22">
        <f t="shared" si="18"/>
        <v>6.5174517303641515E-5</v>
      </c>
    </row>
    <row r="36" spans="1:2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8"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8"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8"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8"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8"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8"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8"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8"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8"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8"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8"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19"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B84" s="51"/>
      <c r="AC84" s="51"/>
      <c r="AD84" s="51"/>
      <c r="AE84" s="51"/>
      <c r="AF84" s="51"/>
      <c r="AG84" s="51"/>
      <c r="AH84" s="79" t="s">
        <v>125</v>
      </c>
      <c r="AI84" s="80"/>
    </row>
    <row r="85" spans="1:35" ht="20" customHeight="1"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B85" s="51"/>
      <c r="AC85" s="51"/>
      <c r="AD85" s="51"/>
      <c r="AE85" s="51"/>
      <c r="AF85" s="51"/>
      <c r="AG85" s="51"/>
      <c r="AH85" s="81" t="s">
        <v>126</v>
      </c>
      <c r="AI85" s="81"/>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B86" s="51"/>
      <c r="AC86" s="51"/>
      <c r="AD86" s="51"/>
      <c r="AE86" s="51"/>
      <c r="AF86" s="51"/>
      <c r="AG86" s="51"/>
      <c r="AH86" s="27" t="s">
        <v>127</v>
      </c>
      <c r="AI86" s="52">
        <f>AA17</f>
        <v>11749984000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B87" s="51"/>
      <c r="AC87" s="51"/>
      <c r="AD87" s="51"/>
      <c r="AE87" s="51"/>
      <c r="AF87" s="51"/>
      <c r="AG87" s="51"/>
      <c r="AH87" s="27" t="s">
        <v>128</v>
      </c>
      <c r="AI87" s="52">
        <f>AA56</f>
        <v>19313889000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B88" s="51"/>
      <c r="AC88" s="51"/>
      <c r="AD88" s="51"/>
      <c r="AE88" s="51"/>
      <c r="AF88" s="51"/>
      <c r="AG88" s="51"/>
      <c r="AH88" s="27" t="s">
        <v>129</v>
      </c>
      <c r="AI88" s="52">
        <f>AA61</f>
        <v>868860583000</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B89" s="51"/>
      <c r="AC89" s="51"/>
      <c r="AD89" s="51"/>
      <c r="AE89" s="51"/>
      <c r="AF89" s="51"/>
      <c r="AG89" s="51"/>
      <c r="AH89" s="29" t="s">
        <v>130</v>
      </c>
      <c r="AI89" s="53">
        <f>AI86/(AI87+AI88)</f>
        <v>1.3229364691760698E-2</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B90" s="51"/>
      <c r="AC90" s="51"/>
      <c r="AD90" s="51"/>
      <c r="AE90" s="51"/>
      <c r="AF90" s="51"/>
      <c r="AG90" s="51"/>
      <c r="AH90" s="27" t="s">
        <v>105</v>
      </c>
      <c r="AI90" s="52">
        <f>AA27</f>
        <v>127290203000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B91" s="51"/>
      <c r="AC91" s="51"/>
      <c r="AD91" s="51"/>
      <c r="AE91" s="51"/>
      <c r="AF91" s="51"/>
      <c r="AG91" s="51"/>
      <c r="AH91" s="27" t="s">
        <v>19</v>
      </c>
      <c r="AI91" s="52">
        <f>AA25</f>
        <v>1144190718000</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B92" s="51"/>
      <c r="AC92" s="51"/>
      <c r="AD92" s="51"/>
      <c r="AE92" s="51"/>
      <c r="AF92" s="51"/>
      <c r="AG92" s="51"/>
      <c r="AH92" s="29" t="s">
        <v>131</v>
      </c>
      <c r="AI92" s="53">
        <f>AI90/AI91</f>
        <v>0.11124911345417854</v>
      </c>
    </row>
    <row r="93" spans="1:35" ht="19" customHeight="1"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B93" s="51"/>
      <c r="AC93" s="51"/>
      <c r="AD93" s="51"/>
      <c r="AE93" s="51"/>
      <c r="AF93" s="51"/>
      <c r="AG93" s="51"/>
      <c r="AH93" s="29" t="s">
        <v>132</v>
      </c>
      <c r="AI93" s="53">
        <f>AI89*(1-AI92)</f>
        <v>1.1757609598240308E-2</v>
      </c>
    </row>
    <row r="94" spans="1:35" ht="20" customHeight="1"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B94" s="51"/>
      <c r="AC94" s="51"/>
      <c r="AD94" s="51"/>
      <c r="AE94" s="51"/>
      <c r="AF94" s="51"/>
      <c r="AG94" s="51"/>
      <c r="AH94" s="81" t="s">
        <v>133</v>
      </c>
      <c r="AI94" s="81"/>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B95" s="51"/>
      <c r="AC95" s="51"/>
      <c r="AD95" s="51"/>
      <c r="AE95" s="51"/>
      <c r="AF95" s="51"/>
      <c r="AG95" s="51"/>
      <c r="AH95" s="27" t="s">
        <v>134</v>
      </c>
      <c r="AI95" s="75">
        <v>1.3050000000000001E-2</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51"/>
      <c r="AC96" s="51"/>
      <c r="AD96" s="51"/>
      <c r="AE96" s="51"/>
      <c r="AF96" s="51"/>
      <c r="AG96" s="51"/>
      <c r="AH96" s="30" t="s">
        <v>135</v>
      </c>
      <c r="AI96" s="54" cm="1">
        <f t="array" ref="AI96">_FV(A1,"Beta")</f>
        <v>1.3841000000000001</v>
      </c>
    </row>
    <row r="97" spans="1:37"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B97" s="51"/>
      <c r="AC97" s="51"/>
      <c r="AD97" s="51"/>
      <c r="AE97" s="51"/>
      <c r="AF97" s="51"/>
      <c r="AG97" s="51"/>
      <c r="AH97" s="27" t="s">
        <v>136</v>
      </c>
      <c r="AI97" s="55">
        <v>8.4000000000000005E-2</v>
      </c>
    </row>
    <row r="98" spans="1:37" ht="19" customHeight="1"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B98" s="51"/>
      <c r="AC98" s="51"/>
      <c r="AD98" s="51"/>
      <c r="AE98" s="51"/>
      <c r="AF98" s="51"/>
      <c r="AG98" s="51"/>
      <c r="AH98" s="29" t="s">
        <v>137</v>
      </c>
      <c r="AI98" s="53">
        <f>(AI95)+((AI96)*(AI97-AI95))</f>
        <v>0.11125189500000002</v>
      </c>
      <c r="AJ98" t="s">
        <v>170</v>
      </c>
    </row>
    <row r="99" spans="1:37" ht="20" customHeight="1"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B99" s="51"/>
      <c r="AC99" s="51"/>
      <c r="AD99" s="51"/>
      <c r="AE99" s="51"/>
      <c r="AF99" s="51"/>
      <c r="AG99" s="51"/>
      <c r="AH99" s="81" t="s">
        <v>138</v>
      </c>
      <c r="AI99" s="81"/>
      <c r="AJ99" t="e" vm="2">
        <v>#VALUE!</v>
      </c>
      <c r="AK99" s="48"/>
    </row>
    <row r="100" spans="1:37"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B100" s="51"/>
      <c r="AC100" s="51"/>
      <c r="AD100" s="51"/>
      <c r="AE100" s="51"/>
      <c r="AF100" s="51"/>
      <c r="AG100" s="51"/>
      <c r="AH100" s="27" t="s">
        <v>139</v>
      </c>
      <c r="AI100" s="52">
        <f>AI87+AI88</f>
        <v>888174472000</v>
      </c>
      <c r="AJ100" s="47" t="s">
        <v>156</v>
      </c>
    </row>
    <row r="101" spans="1:37"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B101" s="51"/>
      <c r="AC101" s="51"/>
      <c r="AD101" s="51"/>
      <c r="AE101" s="51"/>
      <c r="AF101" s="51"/>
      <c r="AG101" s="51"/>
      <c r="AH101" s="29" t="s">
        <v>140</v>
      </c>
      <c r="AI101" s="53">
        <f>AI100/AI104</f>
        <v>5.792818441423371E-2</v>
      </c>
      <c r="AJ101" s="31">
        <v>3.3000000000000002E-2</v>
      </c>
    </row>
    <row r="102" spans="1:37"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B102" s="51"/>
      <c r="AC102" s="51"/>
      <c r="AD102" s="51"/>
      <c r="AE102" s="51"/>
      <c r="AF102" s="51"/>
      <c r="AG102" s="51"/>
      <c r="AH102" s="30" t="s">
        <v>141</v>
      </c>
      <c r="AI102" s="56" cm="1">
        <f t="array" ref="AI102">_FV(A1,"Market cap",TRUE)</f>
        <v>14444162990000</v>
      </c>
      <c r="AJ102" s="47" t="s">
        <v>157</v>
      </c>
    </row>
    <row r="103" spans="1:37"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B103" s="51"/>
      <c r="AC103" s="51"/>
      <c r="AD103" s="51"/>
      <c r="AE103" s="51"/>
      <c r="AF103" s="51"/>
      <c r="AG103" s="51"/>
      <c r="AH103" s="29" t="s">
        <v>142</v>
      </c>
      <c r="AI103" s="53">
        <f>AI102/AI104</f>
        <v>0.94207181558576625</v>
      </c>
      <c r="AJ103" s="28">
        <f>AI102*AJ101</f>
        <v>476657378670</v>
      </c>
    </row>
    <row r="104" spans="1:37" ht="20" customHeight="1"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B104" s="83" t="s">
        <v>115</v>
      </c>
      <c r="AC104" s="83"/>
      <c r="AD104" s="83"/>
      <c r="AE104" s="83"/>
      <c r="AF104" s="83"/>
      <c r="AG104" s="51"/>
      <c r="AH104" s="29" t="s">
        <v>143</v>
      </c>
      <c r="AI104" s="58">
        <f>AI100+AI102</f>
        <v>15332337462000</v>
      </c>
    </row>
    <row r="105" spans="1:37" ht="21" customHeight="1" thickTop="1" x14ac:dyDescent="0.25">
      <c r="A105" s="14" t="s">
        <v>161</v>
      </c>
      <c r="B105" s="1">
        <f t="shared" ref="B105:AA105" si="21">(B22*(1-$AI$92))+B77+B88+B81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 t="shared" si="21"/>
        <v>473628314891.33008</v>
      </c>
      <c r="AB105" s="76">
        <f>AB107/AB3</f>
        <v>0.17267165193745751</v>
      </c>
      <c r="AC105" s="76">
        <f>AC107/AC3</f>
        <v>0.29160874885649457</v>
      </c>
      <c r="AD105" s="76">
        <f>AD107/AD3</f>
        <v>0.31717975810670801</v>
      </c>
      <c r="AE105" s="76">
        <f>AE107/AE3</f>
        <v>0.25182524271844658</v>
      </c>
      <c r="AF105" s="76">
        <f>AF107/AF3</f>
        <v>0.27844797178130515</v>
      </c>
      <c r="AG105" s="77" t="s">
        <v>167</v>
      </c>
      <c r="AH105" s="81" t="s">
        <v>144</v>
      </c>
      <c r="AI105" s="81"/>
    </row>
    <row r="106" spans="1:37" ht="20" x14ac:dyDescent="0.25">
      <c r="A106" s="14" t="s">
        <v>106</v>
      </c>
      <c r="B106" s="1"/>
      <c r="C106" s="15">
        <f t="shared" ref="C106:AA106" si="22">(C107/B107)-1</f>
        <v>-0.66023844690773537</v>
      </c>
      <c r="D106" s="15">
        <f t="shared" si="22"/>
        <v>-4.716021352464761</v>
      </c>
      <c r="E106" s="15">
        <f t="shared" si="22"/>
        <v>-2.0633066879522239</v>
      </c>
      <c r="F106" s="15">
        <f t="shared" si="22"/>
        <v>-1.3540175301892403</v>
      </c>
      <c r="G106" s="15">
        <f t="shared" si="22"/>
        <v>10.830968261796651</v>
      </c>
      <c r="H106" s="15">
        <f t="shared" si="22"/>
        <v>1.6720148824889343</v>
      </c>
      <c r="I106" s="15">
        <f t="shared" si="22"/>
        <v>-0.37688644544148509</v>
      </c>
      <c r="J106" s="15">
        <f t="shared" si="22"/>
        <v>7.1969148897544022E-2</v>
      </c>
      <c r="K106" s="15">
        <f t="shared" si="22"/>
        <v>0.63174925618738054</v>
      </c>
      <c r="L106" s="15">
        <f t="shared" si="22"/>
        <v>-0.20966073965313869</v>
      </c>
      <c r="M106" s="15">
        <f t="shared" si="22"/>
        <v>0.63082925717436633</v>
      </c>
      <c r="N106" s="15">
        <f t="shared" si="22"/>
        <v>-0.55638676946104537</v>
      </c>
      <c r="O106" s="15">
        <f t="shared" si="22"/>
        <v>-0.41076868726751314</v>
      </c>
      <c r="P106" s="15">
        <f t="shared" si="22"/>
        <v>-0.20942311128666691</v>
      </c>
      <c r="Q106" s="15">
        <f t="shared" si="22"/>
        <v>0.27664054484081557</v>
      </c>
      <c r="R106" s="15">
        <f t="shared" si="22"/>
        <v>0.32874641246412462</v>
      </c>
      <c r="S106" s="15">
        <f t="shared" si="22"/>
        <v>1.2638157168078292</v>
      </c>
      <c r="T106" s="15">
        <f t="shared" si="22"/>
        <v>1.0761305781565347</v>
      </c>
      <c r="U106" s="15">
        <f t="shared" si="22"/>
        <v>-0.2288051978765937</v>
      </c>
      <c r="V106" s="15">
        <f t="shared" si="22"/>
        <v>0.20648454176217679</v>
      </c>
      <c r="W106" s="15">
        <f t="shared" si="22"/>
        <v>7.3864499696707497E-3</v>
      </c>
      <c r="X106" s="15">
        <f t="shared" si="22"/>
        <v>-0.4213977596398486</v>
      </c>
      <c r="Y106" s="15">
        <f t="shared" si="22"/>
        <v>1.0716606619867304</v>
      </c>
      <c r="Z106" s="15">
        <f t="shared" si="22"/>
        <v>-0.12771733085606274</v>
      </c>
      <c r="AA106" s="15">
        <f t="shared" si="22"/>
        <v>0.98296363145700649</v>
      </c>
      <c r="AB106" s="59">
        <f>(AB107/AA107)-1</f>
        <v>-0.30561130451338914</v>
      </c>
      <c r="AC106" s="59">
        <f>(AC107/AB107)-1</f>
        <v>1.0560395376109901</v>
      </c>
      <c r="AD106" s="59">
        <f>(AD107/AC107)-1</f>
        <v>0.25968629048686087</v>
      </c>
      <c r="AE106" s="59">
        <f>(AE107/AD107)-1</f>
        <v>-0.16109835376305826</v>
      </c>
      <c r="AF106" s="59">
        <f>(AF107/AE107)-1</f>
        <v>0.21736448454005708</v>
      </c>
      <c r="AG106" s="73">
        <f>SUM(AB106:AF106)/5</f>
        <v>0.21327613087229214</v>
      </c>
      <c r="AH106" s="32" t="s">
        <v>107</v>
      </c>
      <c r="AI106" s="60">
        <f>(AI101*AI93)+(AI103*AI98)</f>
        <v>0.10548837168708447</v>
      </c>
    </row>
    <row r="107" spans="1:37" ht="19" x14ac:dyDescent="0.25">
      <c r="A107" s="35" t="s">
        <v>162</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61">
        <f>11938000000/$AJ$101</f>
        <v>361757575757.57574</v>
      </c>
      <c r="AC107" s="61">
        <f>24545000000/$AJ$101</f>
        <v>743787878787.87878</v>
      </c>
      <c r="AD107" s="61">
        <f>30919000000/$AJ$101</f>
        <v>936939393939.39392</v>
      </c>
      <c r="AE107" s="61">
        <f>25938000000/$AJ$101</f>
        <v>786000000000</v>
      </c>
      <c r="AF107" s="61">
        <f>31576000000/$AJ$101</f>
        <v>956848484848.48486</v>
      </c>
      <c r="AG107" s="57" t="s">
        <v>160</v>
      </c>
      <c r="AH107" s="62" t="s">
        <v>145</v>
      </c>
      <c r="AI107" s="33">
        <f>(SUM(AB4:AF4)/5)</f>
        <v>9.1718874733007438E-2</v>
      </c>
    </row>
    <row r="108" spans="1:37" ht="19" x14ac:dyDescent="0.2">
      <c r="AB108" s="78"/>
      <c r="AC108" s="78"/>
      <c r="AD108" s="78"/>
      <c r="AE108" s="78"/>
      <c r="AF108" s="63">
        <f>AF107*(1+AI108)/(AI109-AI108)</f>
        <v>12185234666973.336</v>
      </c>
      <c r="AG108" s="64" t="s">
        <v>146</v>
      </c>
      <c r="AH108" s="65" t="s">
        <v>147</v>
      </c>
      <c r="AI108" s="34">
        <v>2.5000000000000001E-2</v>
      </c>
    </row>
    <row r="109" spans="1:37" ht="19" x14ac:dyDescent="0.2">
      <c r="AB109" s="63">
        <f t="shared" ref="AB109:AD109" si="23">AB108+AB107</f>
        <v>361757575757.57574</v>
      </c>
      <c r="AC109" s="63">
        <f t="shared" si="23"/>
        <v>743787878787.87878</v>
      </c>
      <c r="AD109" s="63">
        <f t="shared" si="23"/>
        <v>936939393939.39392</v>
      </c>
      <c r="AE109" s="63">
        <f>AE108+AE107</f>
        <v>786000000000</v>
      </c>
      <c r="AF109" s="63">
        <f>AF108+AF107</f>
        <v>13142083151821.82</v>
      </c>
      <c r="AG109" s="64" t="s">
        <v>143</v>
      </c>
      <c r="AH109" s="66" t="s">
        <v>148</v>
      </c>
      <c r="AI109" s="33">
        <f>AI106</f>
        <v>0.10548837168708447</v>
      </c>
    </row>
    <row r="110" spans="1:37" ht="19" x14ac:dyDescent="0.2">
      <c r="AB110" s="82" t="s">
        <v>149</v>
      </c>
      <c r="AC110" s="82"/>
      <c r="AD110" s="51"/>
      <c r="AE110" s="51"/>
      <c r="AF110" s="51"/>
      <c r="AG110" s="51"/>
      <c r="AH110" s="51"/>
      <c r="AI110" s="51"/>
    </row>
    <row r="111" spans="1:37" ht="20" x14ac:dyDescent="0.2">
      <c r="AB111" s="67" t="s">
        <v>150</v>
      </c>
      <c r="AC111" s="56">
        <f>NPV(AI109,AB109,AC109,AD109,AE109,AF109)</f>
        <v>10115258737215.971</v>
      </c>
      <c r="AD111" s="51"/>
      <c r="AE111" s="51"/>
      <c r="AF111" s="51"/>
      <c r="AG111" s="51"/>
      <c r="AH111" s="51"/>
      <c r="AI111" s="51"/>
    </row>
    <row r="112" spans="1:37" ht="20" x14ac:dyDescent="0.2">
      <c r="AB112" s="67" t="s">
        <v>151</v>
      </c>
      <c r="AC112" s="56">
        <f>AA40</f>
        <v>1586500125000</v>
      </c>
      <c r="AD112" s="51"/>
      <c r="AE112" s="51"/>
      <c r="AF112" s="51"/>
      <c r="AG112" s="51"/>
      <c r="AH112" s="51"/>
      <c r="AI112" s="51"/>
    </row>
    <row r="113" spans="28:35" ht="20" x14ac:dyDescent="0.2">
      <c r="AB113" s="67" t="s">
        <v>139</v>
      </c>
      <c r="AC113" s="56">
        <f>AI100</f>
        <v>888174472000</v>
      </c>
      <c r="AD113" s="51"/>
      <c r="AE113" s="51"/>
      <c r="AF113" s="51"/>
      <c r="AG113" s="51"/>
      <c r="AH113" s="51"/>
      <c r="AI113" s="51"/>
    </row>
    <row r="114" spans="28:35" ht="20" x14ac:dyDescent="0.2">
      <c r="AB114" s="67" t="s">
        <v>152</v>
      </c>
      <c r="AC114" s="56">
        <f>AC111+AC112-AC113</f>
        <v>10813584390215.971</v>
      </c>
      <c r="AD114" s="51"/>
      <c r="AE114" s="51"/>
      <c r="AF114" s="51"/>
      <c r="AG114" s="51"/>
      <c r="AH114" s="51"/>
      <c r="AI114" s="51"/>
    </row>
    <row r="115" spans="28:35" ht="20" x14ac:dyDescent="0.2">
      <c r="AB115" s="67" t="s">
        <v>153</v>
      </c>
      <c r="AC115" s="67">
        <f>AA34*(1+(5*AG16))</f>
        <v>5186076000</v>
      </c>
      <c r="AD115" s="51"/>
      <c r="AE115" s="51"/>
      <c r="AF115" s="51"/>
      <c r="AG115" s="51"/>
      <c r="AH115" s="51"/>
      <c r="AI115" s="51"/>
    </row>
    <row r="116" spans="28:35" ht="20" x14ac:dyDescent="0.2">
      <c r="AB116" s="68" t="s">
        <v>159</v>
      </c>
      <c r="AC116" s="69">
        <f>AC114/AC115*AJ101</f>
        <v>68.808919282541751</v>
      </c>
      <c r="AD116" s="51"/>
      <c r="AE116" s="51"/>
      <c r="AF116" s="51"/>
      <c r="AG116" s="51"/>
      <c r="AH116" s="51"/>
      <c r="AI116" s="51"/>
    </row>
    <row r="117" spans="28:35" ht="20" x14ac:dyDescent="0.2">
      <c r="AB117" s="67" t="s">
        <v>158</v>
      </c>
      <c r="AC117" s="70" cm="1">
        <f t="array" ref="AC117">_FV(AJ99,"Price")</f>
        <v>91.61</v>
      </c>
      <c r="AD117" s="51"/>
      <c r="AE117" s="51"/>
      <c r="AF117" s="51"/>
      <c r="AG117" s="51"/>
      <c r="AH117" s="51"/>
      <c r="AI117" s="51"/>
    </row>
    <row r="118" spans="28:35" ht="20" x14ac:dyDescent="0.2">
      <c r="AB118" s="68" t="s">
        <v>154</v>
      </c>
      <c r="AC118" s="71">
        <f>AC116/AC117-1</f>
        <v>-0.24889292345222414</v>
      </c>
      <c r="AD118" s="51"/>
      <c r="AE118" s="51"/>
      <c r="AF118" s="51"/>
      <c r="AG118" s="51"/>
      <c r="AH118" s="51"/>
      <c r="AI118" s="51"/>
    </row>
    <row r="119" spans="28:35" ht="20" x14ac:dyDescent="0.2">
      <c r="AB119" s="68" t="s">
        <v>155</v>
      </c>
      <c r="AC119" s="72" t="str">
        <f>IF(AC116&gt;AC117,"BUY","SELL")</f>
        <v>SELL</v>
      </c>
      <c r="AD119" s="51"/>
      <c r="AE119" s="51"/>
      <c r="AF119" s="51"/>
      <c r="AG119" s="51"/>
      <c r="AH119" s="51"/>
      <c r="AI119" s="51"/>
    </row>
  </sheetData>
  <mergeCells count="7">
    <mergeCell ref="AH84:AI84"/>
    <mergeCell ref="AH85:AI85"/>
    <mergeCell ref="AB110:AC110"/>
    <mergeCell ref="AB104:AF104"/>
    <mergeCell ref="AH105:AI105"/>
    <mergeCell ref="AH99:AI99"/>
    <mergeCell ref="AH94:AI9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7"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2023-03-14T06:02:17Z</dcterms:created>
  <dcterms:modified xsi:type="dcterms:W3CDTF">2023-11-09T23:11:44Z</dcterms:modified>
</cp:coreProperties>
</file>