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7DDE2EC5-8191-1341-B198-03C5C0AFFC04}"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G19" i="2"/>
  <c r="H19" i="2"/>
  <c r="I19" i="2"/>
  <c r="J19" i="2"/>
  <c r="F19" i="2"/>
  <c r="C19" i="2"/>
  <c r="D19" i="2"/>
  <c r="E19" i="2"/>
  <c r="B19" i="2"/>
  <c r="G16" i="2"/>
  <c r="H16" i="2"/>
  <c r="I16" i="2"/>
  <c r="J16" i="2"/>
  <c r="F16" i="2"/>
  <c r="C16" i="2"/>
  <c r="D16" i="2"/>
  <c r="E16" i="2"/>
  <c r="B16" i="2"/>
  <c r="K13" i="2"/>
  <c r="G13" i="2"/>
  <c r="H13" i="2"/>
  <c r="I13" i="2"/>
  <c r="J13" i="2"/>
  <c r="F13" i="2"/>
  <c r="E13" i="2"/>
  <c r="D13" i="2"/>
  <c r="C13" i="2"/>
  <c r="G3" i="2" l="1"/>
  <c r="O10" i="2"/>
  <c r="O9" i="2"/>
  <c r="O7" i="2"/>
  <c r="G7" i="2"/>
  <c r="E7" i="2"/>
  <c r="O6" i="2"/>
  <c r="O19" i="2" s="1"/>
  <c r="G6" i="2"/>
  <c r="E6" i="2"/>
  <c r="C6" i="2"/>
  <c r="O5" i="2"/>
  <c r="G5" i="2"/>
  <c r="C5" i="2"/>
  <c r="C4" i="2"/>
  <c r="A4" i="2"/>
  <c r="C3" i="2"/>
  <c r="O20" i="2" a="1"/>
  <c r="O20" i="2" s="1"/>
  <c r="A23" i="2" a="1"/>
  <c r="A23" i="2" s="1"/>
  <c r="C22" i="2" a="1"/>
  <c r="C22" i="2" s="1"/>
  <c r="A22" i="2" a="1"/>
  <c r="A22" i="2" s="1"/>
  <c r="O15" i="2" a="1"/>
  <c r="O15" i="2" s="1"/>
  <c r="J18" i="2"/>
  <c r="I18" i="2"/>
  <c r="H18" i="2"/>
  <c r="G18" i="2"/>
  <c r="F18" i="2"/>
  <c r="E18" i="2"/>
  <c r="D18" i="2"/>
  <c r="C18" i="2"/>
  <c r="J15" i="2"/>
  <c r="I15" i="2"/>
  <c r="H15" i="2"/>
  <c r="G15" i="2"/>
  <c r="F15" i="2"/>
  <c r="E15" i="2"/>
  <c r="D15" i="2"/>
  <c r="C15" i="2"/>
  <c r="J11" i="2"/>
  <c r="I11" i="2"/>
  <c r="H11" i="2"/>
  <c r="G11" i="2"/>
  <c r="F11" i="2"/>
  <c r="E11" i="2"/>
  <c r="D11" i="2"/>
  <c r="C11" i="2"/>
  <c r="E3" i="2" s="1"/>
  <c r="O11" i="2"/>
  <c r="O8"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4" i="2" l="1"/>
  <c r="K3" i="2"/>
  <c r="O17" i="2"/>
  <c r="K18" i="2"/>
  <c r="K15" i="2"/>
  <c r="E5" i="2"/>
  <c r="K11" i="2"/>
  <c r="O12" i="2"/>
  <c r="G4" i="2"/>
  <c r="O21" i="2"/>
  <c r="O22" i="2" s="1"/>
  <c r="A6" i="2"/>
  <c r="A7" i="2"/>
  <c r="O23" i="2" l="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<sst xmlns="http://schemas.openxmlformats.org/spreadsheetml/2006/main" count="1220" uniqueCount="255">
  <si>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</si>
  <si>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</si>
  <si>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</si>
  <si>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</si>
  <si>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</si>
  <si>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</si>
  <si>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</si>
  <si>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</si>
  <si>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</si>
  <si>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</si>
  <si>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</si>
  <si>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</si>
  <si>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</si>
  <si>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</si>
  <si>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</si>
  <si>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</si>
  <si>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</si>
  <si>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</si>
  <si>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</si>
  <si>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</si>
  <si>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</si>
  <si>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</si>
  <si>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</si>
  <si>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</si>
  <si>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</si>
  <si>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</si>
  <si>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</si>
  <si>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</si>
  <si>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</si>
  <si>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</si>
  <si>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</si>
  <si>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</si>
  <si>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</si>
  <si>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</si>
  <si>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</si>
  <si>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</si>
  <si>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</si>
  <si>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</si>
  <si>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</si>
  <si>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</si>
  <si>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</si>
  <si>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</si>
  <si>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</si>
  <si>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</si>
  <si>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</si>
  <si>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</si>
  <si>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</si>
  <si>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</si>
  <si>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</si>
  <si>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</si>
  <si>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</si>
  <si>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</si>
  <si>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</si>
  <si>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</si>
  <si>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</si>
  <si>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</si>
  <si>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</si>
  <si>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</si>
  <si>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</si>
  <si>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</si>
  <si>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</si>
  <si>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</si>
  <si>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</si>
  <si>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</si>
  <si>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</si>
  <si>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</si>
  <si>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</si>
  <si>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</si>
  <si>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</si>
  <si>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</si>
  <si>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</si>
  <si>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</si>
  <si>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</si>
  <si>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</si>
  <si>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</si>
  <si>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</si>
  <si>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</si>
  <si>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</si>
  <si>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</si>
  <si>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</si>
  <si>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</si>
  <si>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</si>
  <si>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</si>
  <si>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</si>
  <si>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</si>
  <si>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</si>
  <si>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</si>
  <si>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</si>
  <si>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</si>
  <si>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</si>
  <si>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</si>
  <si>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</si>
  <si>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</si>
  <si>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</si>
  <si>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</si>
  <si>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</si>
  <si>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</si>
  <si>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</si>
  <si>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</si>
  <si>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</si>
  <si>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</si>
  <si>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</si>
  <si>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</si>
  <si>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</si>
  <si>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</si>
  <si>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</si>
  <si>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</si>
  <si>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</si>
  <si>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</si>
  <si>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</si>
  <si>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</si>
  <si>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</si>
  <si>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</si>
  <si>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</si>
  <si>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</si>
  <si>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</si>
  <si>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</si>
  <si>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</si>
  <si>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</si>
  <si>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</si>
  <si>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</si>
  <si>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</si>
  <si>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</si>
  <si>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</si>
  <si>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</si>
  <si>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</si>
  <si>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</si>
  <si>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</si>
  <si>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</si>
  <si>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</si>
  <si>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</si>
  <si>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</si>
  <si>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</si>
  <si>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</si>
  <si>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</si>
  <si>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</si>
  <si>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</si>
  <si>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</si>
  <si>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</si>
  <si>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</si>
  <si>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</si>
  <si>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</si>
  <si>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</si>
  <si>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</si>
  <si>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</si>
  <si>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</si>
  <si>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</si>
  <si>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</si>
  <si>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</si>
  <si>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</si>
  <si>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</si>
  <si>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</si>
  <si>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</si>
  <si>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</si>
  <si>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</si>
  <si>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</si>
  <si>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</si>
  <si>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</si>
  <si>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</si>
  <si>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</si>
  <si>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</si>
  <si>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</si>
  <si>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</si>
  <si>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</si>
  <si>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</si>
  <si>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</si>
  <si>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</si>
  <si>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</si>
  <si>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</si>
  <si>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</si>
  <si>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</si>
  <si>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</si>
  <si>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</si>
  <si>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</si>
  <si>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</si>
  <si>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</si>
  <si>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</si>
  <si>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</si>
  <si>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</si>
  <si>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</si>
  <si>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</si>
  <si>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</si>
  <si>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</si>
  <si>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</si>
  <si>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</si>
  <si>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</si>
  <si>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</si>
  <si>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</si>
  <si>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</si>
  <si>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</si>
  <si>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</si>
  <si>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</si>
  <si>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</si>
  <si>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</si>
  <si>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</si>
  <si>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</si>
  <si>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</si>
  <si>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</si>
  <si>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</si>
  <si>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</si>
  <si>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</si>
  <si>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</si>
  <si>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</si>
  <si>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</si>
  <si>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</si>
  <si>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</si>
  <si>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</si>
  <si>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</si>
  <si>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</si>
  <si>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</si>
  <si>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</si>
  <si>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</si>
  <si>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</si>
  <si>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</si>
  <si>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</si>
  <si>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</si>
  <si>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</si>
  <si>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</si>
  <si>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</si>
  <si>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</si>
  <si>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</si>
  <si>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</si>
  <si>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</si>
  <si>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</si>
  <si>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</si>
  <si>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</si>
  <si>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</si>
  <si>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</si>
  <si>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</si>
  <si>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</si>
  <si>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</si>
  <si>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</si>
  <si>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</si>
  <si>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</si>
  <si>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</si>
  <si>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</si>
  <si>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</si>
  <si>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</si>
  <si>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</si>
  <si>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</si>
  <si>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</si>
  <si>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</si>
  <si>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</si>
  <si>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</si>
  <si>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</si>
  <si>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</si>
  <si>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</si>
  <si>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</si>
  <si>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</si>
  <si>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</si>
  <si>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</si>
  <si>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Growth</t>
  </si>
  <si>
    <t>Vehicle Deliveries</t>
  </si>
  <si>
    <t>Deliveries YoY</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</si>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</sst>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4"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b/>
      <sz val="14"/>
      <name val="Arial"/>
      <family val="2"/>
    </font>
    <font>
      <sz val="10"/>
      <name val="Arial"/>
      <family val="2"/>
    </font>
  </fonts>
  <fills count="1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bgColor rgb="FF000000"/>
      </patternFill>
    </fill>
  </fills>
  <borders count="22">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0" fontId="1" fillId="11"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65" fontId="4" fillId="9" borderId="10"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3" fillId="12" borderId="6" xfId="0" applyFont="1" applyFill="1" applyBorder="1" applyAlignment="1">
      <alignment horizontal="left" vertical="center" wrapText="1"/>
    </xf>
    <xf numFmtId="164" fontId="14" fillId="12"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2" borderId="10" xfId="0" applyFont="1" applyFill="1" applyBorder="1" applyAlignment="1">
      <alignment horizontal="left" vertical="center" wrapText="1"/>
    </xf>
    <xf numFmtId="164" fontId="14" fillId="12"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1" borderId="1" xfId="1" applyFont="1" applyFill="1" applyBorder="1" applyAlignment="1">
      <alignment horizontal="left" indent="1"/>
    </xf>
    <xf numFmtId="0" fontId="17" fillId="12" borderId="10" xfId="0" applyFont="1" applyFill="1" applyBorder="1" applyAlignment="1">
      <alignment horizontal="left" vertical="center" wrapText="1"/>
    </xf>
    <xf numFmtId="10" fontId="18" fillId="12" borderId="9" xfId="0" applyNumberFormat="1" applyFont="1" applyFill="1" applyBorder="1" applyAlignment="1">
      <alignment vertical="center"/>
    </xf>
    <xf numFmtId="0" fontId="12" fillId="11" borderId="1" xfId="0" applyFont="1" applyFill="1" applyBorder="1" applyAlignment="1">
      <alignment horizontal="right" vertical="center"/>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10" fontId="14" fillId="12" borderId="9" xfId="0" applyNumberFormat="1" applyFont="1" applyFill="1" applyBorder="1" applyAlignment="1">
      <alignment vertical="center"/>
    </xf>
    <xf numFmtId="0" fontId="13" fillId="12" borderId="11" xfId="0" applyFont="1" applyFill="1" applyBorder="1" applyAlignment="1">
      <alignment horizontal="left" vertical="center" wrapText="1"/>
    </xf>
    <xf numFmtId="10" fontId="14" fillId="12" borderId="12" xfId="0" applyNumberFormat="1" applyFont="1" applyFill="1" applyBorder="1" applyAlignment="1">
      <alignment vertical="center"/>
    </xf>
    <xf numFmtId="2" fontId="14" fillId="12" borderId="9" xfId="0" applyNumberFormat="1" applyFont="1" applyFill="1" applyBorder="1" applyAlignment="1">
      <alignment vertical="center"/>
    </xf>
    <xf numFmtId="0" fontId="17" fillId="12" borderId="11" xfId="0" applyFont="1" applyFill="1" applyBorder="1" applyAlignment="1">
      <alignment horizontal="left" vertical="center" wrapText="1"/>
    </xf>
    <xf numFmtId="10" fontId="18" fillId="12" borderId="12" xfId="0" applyNumberFormat="1" applyFont="1" applyFill="1" applyBorder="1" applyAlignment="1">
      <alignment vertical="center"/>
    </xf>
    <xf numFmtId="0" fontId="12" fillId="11" borderId="1" xfId="0" applyFont="1" applyFill="1" applyBorder="1" applyAlignment="1">
      <alignment horizontal="left" vertical="center" indent="1"/>
    </xf>
    <xf numFmtId="164" fontId="14" fillId="12" borderId="9" xfId="0" applyNumberFormat="1" applyFont="1" applyFill="1" applyBorder="1" applyAlignment="1">
      <alignment horizontal="right" vertical="center"/>
    </xf>
    <xf numFmtId="10" fontId="18" fillId="12" borderId="9" xfId="0" applyNumberFormat="1" applyFont="1" applyFill="1" applyBorder="1" applyAlignment="1">
      <alignment horizontal="right" vertical="center"/>
    </xf>
    <xf numFmtId="10" fontId="18"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9" fontId="4" fillId="12" borderId="14" xfId="1" applyFont="1" applyFill="1" applyBorder="1" applyAlignment="1">
      <alignment horizontal="right" vertical="center" indent="1"/>
    </xf>
    <xf numFmtId="164" fontId="4" fillId="10" borderId="16" xfId="0" applyNumberFormat="1" applyFont="1" applyFill="1" applyBorder="1" applyAlignment="1">
      <alignment horizontal="right" vertical="center" indent="1"/>
    </xf>
    <xf numFmtId="164" fontId="4" fillId="10" borderId="15" xfId="0" applyNumberFormat="1" applyFont="1" applyFill="1" applyBorder="1" applyAlignment="1">
      <alignment horizontal="right" vertical="center" indent="1"/>
    </xf>
    <xf numFmtId="164" fontId="4" fillId="10" borderId="17" xfId="0" applyNumberFormat="1" applyFont="1" applyFill="1" applyBorder="1" applyAlignment="1">
      <alignment horizontal="right" vertical="center" indent="1"/>
    </xf>
    <xf numFmtId="0" fontId="19" fillId="9" borderId="16" xfId="0" applyFont="1" applyFill="1" applyBorder="1" applyAlignment="1">
      <alignment horizontal="right" vertical="center" indent="1"/>
    </xf>
    <xf numFmtId="0" fontId="20" fillId="14" borderId="16" xfId="0" applyFont="1" applyFill="1" applyBorder="1" applyAlignment="1">
      <alignment horizontal="right" vertical="center" indent="1"/>
    </xf>
    <xf numFmtId="0" fontId="21" fillId="14" borderId="16" xfId="0" applyFont="1" applyFill="1" applyBorder="1" applyAlignment="1">
      <alignment horizontal="right" vertical="center" indent="1"/>
    </xf>
    <xf numFmtId="0" fontId="21" fillId="14" borderId="15" xfId="0" applyFont="1" applyFill="1" applyBorder="1" applyAlignment="1">
      <alignment horizontal="right" vertical="center" indent="1"/>
    </xf>
    <xf numFmtId="0" fontId="3" fillId="9" borderId="17" xfId="0" applyFont="1" applyFill="1" applyBorder="1" applyAlignment="1">
      <alignment horizontal="right" vertical="center"/>
    </xf>
    <xf numFmtId="9" fontId="19" fillId="10" borderId="17" xfId="1" applyFont="1" applyFill="1" applyBorder="1" applyAlignment="1">
      <alignment horizontal="left" vertical="center" indent="2"/>
    </xf>
    <xf numFmtId="9" fontId="4" fillId="12" borderId="19" xfId="1" applyFont="1" applyFill="1" applyBorder="1" applyAlignment="1">
      <alignment vertical="center"/>
    </xf>
    <xf numFmtId="9" fontId="4" fillId="10" borderId="20" xfId="1" applyFont="1" applyFill="1" applyBorder="1" applyAlignment="1">
      <alignment vertical="center"/>
    </xf>
    <xf numFmtId="9" fontId="4" fillId="10" borderId="16" xfId="1" applyFont="1" applyFill="1" applyBorder="1" applyAlignment="1">
      <alignment horizontal="right" vertical="center" indent="1"/>
    </xf>
    <xf numFmtId="9" fontId="4" fillId="10" borderId="17" xfId="1" applyFont="1" applyFill="1" applyBorder="1" applyAlignment="1">
      <alignment horizontal="right" vertical="center" indent="1"/>
    </xf>
    <xf numFmtId="9" fontId="4" fillId="10" borderId="15" xfId="1" applyFont="1" applyFill="1" applyBorder="1" applyAlignment="1">
      <alignment horizontal="right" vertical="center" indent="1"/>
    </xf>
    <xf numFmtId="164" fontId="12" fillId="10" borderId="18" xfId="0" applyNumberFormat="1" applyFont="1" applyFill="1" applyBorder="1" applyAlignment="1">
      <alignment horizontal="right" vertical="center"/>
    </xf>
    <xf numFmtId="10" fontId="12" fillId="12" borderId="1" xfId="1" applyNumberFormat="1" applyFont="1" applyFill="1" applyBorder="1" applyAlignment="1">
      <alignment horizontal="right" vertical="center" indent="1"/>
    </xf>
    <xf numFmtId="10" fontId="12" fillId="12" borderId="21" xfId="1" applyNumberFormat="1" applyFont="1" applyFill="1" applyBorder="1" applyAlignment="1">
      <alignment horizontal="right" vertical="center" indent="1"/>
    </xf>
    <xf numFmtId="9" fontId="4" fillId="12" borderId="21" xfId="1" applyFont="1" applyFill="1" applyBorder="1" applyAlignment="1">
      <alignment horizontal="right" vertical="center" indent="1"/>
    </xf>
    <xf numFmtId="0" fontId="0" fillId="12" borderId="0" xfId="0" applyFill="1"/>
    <xf numFmtId="0" fontId="1" fillId="15" borderId="1" xfId="0" applyFont="1" applyFill="1" applyBorder="1" applyAlignment="1">
      <alignment vertical="center"/>
    </xf>
    <xf numFmtId="0" fontId="0" fillId="0" borderId="20" xfId="0" applyBorder="1"/>
    <xf numFmtId="9" fontId="23" fillId="12" borderId="13" xfId="1" applyFont="1" applyFill="1" applyBorder="1" applyAlignment="1">
      <alignment horizontal="left" vertical="center" indent="3"/>
    </xf>
    <xf numFmtId="9" fontId="12" fillId="12" borderId="13" xfId="1" applyFont="1" applyFill="1" applyBorder="1" applyAlignment="1">
      <alignment horizontal="left" vertical="center"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2" fillId="0" borderId="1" xfId="0" applyFont="1" applyBorder="1" applyAlignment="1">
      <alignment horizontal="left" vertical="center" indent="1"/>
    </xf>
    <xf numFmtId="0" fontId="22" fillId="0" borderId="0" xfId="0" applyFont="1" applyAlignment="1">
      <alignment horizontal="left" vertical="center" indent="1"/>
    </xf>
    <xf numFmtId="9" fontId="3" fillId="12" borderId="7" xfId="1" applyFont="1" applyFill="1" applyBorder="1" applyAlignment="1">
      <alignment horizontal="center" vertical="center"/>
    </xf>
    <xf numFmtId="9" fontId="3" fillId="12"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1" borderId="1" xfId="0" applyFont="1" applyFill="1" applyBorder="1" applyAlignment="1">
      <alignment horizontal="left" vertical="center" wrapText="1" indent="2"/>
    </xf>
    <xf numFmtId="0" fontId="12" fillId="11" borderId="1" xfId="0" applyFont="1" applyFill="1" applyBorder="1" applyAlignment="1">
      <alignment horizontal="left" vertical="center" indent="2"/>
    </xf>
    <xf numFmtId="9" fontId="12" fillId="12" borderId="21" xfId="1" applyFont="1" applyFill="1" applyBorder="1" applyAlignment="1">
      <alignment horizontal="left" vertical="center" indent="2"/>
    </xf>
    <xf numFmtId="10" fontId="12" fillId="12" borderId="14" xfId="1" applyNumberFormat="1" applyFont="1" applyFill="1" applyBorder="1" applyAlignment="1">
      <alignment horizontal="right" vertical="center" indent="1"/>
    </xf>
    <xf numFmtId="9" fontId="12" fillId="12" borderId="17" xfId="1" applyFont="1" applyFill="1" applyBorder="1" applyAlignment="1">
      <alignment horizontal="left" vertical="center" indent="2"/>
    </xf>
    <xf numFmtId="9" fontId="4" fillId="12" borderId="16"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8" xfId="1" applyFont="1" applyFill="1" applyBorder="1" applyAlignment="1">
      <alignment vertical="center"/>
    </xf>
    <xf numFmtId="0" fontId="19" fillId="9" borderId="18" xfId="0" applyFont="1" applyFill="1" applyBorder="1" applyAlignment="1">
      <alignment horizontal="right" vertical="center" indent="1"/>
    </xf>
    <xf numFmtId="9" fontId="12" fillId="12" borderId="17" xfId="1" applyFont="1" applyFill="1" applyBorder="1" applyAlignment="1">
      <alignment horizontal="left" vertical="center" indent="3"/>
    </xf>
    <xf numFmtId="3" fontId="12" fillId="12" borderId="16" xfId="0" applyNumberFormat="1" applyFont="1" applyFill="1" applyBorder="1" applyAlignment="1">
      <alignment horizontal="right" vertical="center" indent="1"/>
    </xf>
    <xf numFmtId="3" fontId="12" fillId="12" borderId="15" xfId="0" applyNumberFormat="1" applyFont="1" applyFill="1" applyBorder="1" applyAlignment="1">
      <alignment horizontal="right" vertical="center" indent="1"/>
    </xf>
    <xf numFmtId="0" fontId="0" fillId="0" borderId="18" xfId="0" applyBorder="1"/>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299.29000000000002</v>
    <v>101.81</v>
    <v>2.2755000000000001</v>
    <v>-12.13</v>
    <v>-5.4612999999999995E-2</v>
    <v>-1.4</v>
    <v>-6.6669999999999993E-3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220.8</v>
    <v>Automobiles &amp; Auto Parts</v>
    <v>Stock</v>
    <v>45239.972654767967</v>
    <v>0</v>
    <v>206.68</v>
    <v>667509831580</v>
    <v>TESLA, INC.</v>
    <v>TESLA, INC.</v>
    <v>219.75</v>
    <v>71.571700000000007</v>
    <v>222.11</v>
    <v>209.98</v>
    <v>208.58</v>
    <v>3178921000</v>
    <v>TSLA</v>
    <v>TESLA, INC. (XNAS:TSLA)</v>
    <v>141754315</v>
    <v>117749263</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SLA%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TSL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51" workbookViewId="0">
      <pane xSplit="1" topLeftCell="F1" activePane="topRight" state="frozen"/>
      <selection pane="topRight" activeCell="O196" sqref="O196"/>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116744000</v>
      </c>
      <c r="C2" s="26">
        <v>204242000</v>
      </c>
      <c r="D2" s="26">
        <v>413256000</v>
      </c>
      <c r="E2" s="26">
        <v>2013496000</v>
      </c>
      <c r="F2" s="26">
        <v>3198356000</v>
      </c>
      <c r="G2" s="26">
        <v>4046024000</v>
      </c>
      <c r="H2" s="26">
        <v>7000132000</v>
      </c>
      <c r="I2" s="26">
        <v>11758751000</v>
      </c>
      <c r="J2" s="26">
        <v>21461268000</v>
      </c>
      <c r="K2" s="26">
        <v>24578000000</v>
      </c>
      <c r="L2" s="26">
        <v>31536000000</v>
      </c>
      <c r="M2" s="26">
        <v>53823000000</v>
      </c>
      <c r="N2" s="26">
        <v>81462000000</v>
      </c>
      <c r="O2" s="27">
        <v>94028000000</v>
      </c>
      <c r="P2" s="26">
        <v>21454000000</v>
      </c>
      <c r="Q2" s="26">
        <v>24318000000</v>
      </c>
      <c r="R2" s="26">
        <v>23329000000</v>
      </c>
      <c r="S2" s="26">
        <v>24927000000</v>
      </c>
    </row>
    <row r="3" spans="1:19" ht="16" x14ac:dyDescent="0.2">
      <c r="A3" s="9" t="s">
        <v>191</v>
      </c>
      <c r="B3" s="10"/>
      <c r="C3" s="11">
        <f t="shared" ref="C3:O3" si="0">(C2/B2)-1</f>
        <v>0.74948605495785658</v>
      </c>
      <c r="D3" s="11">
        <f t="shared" si="0"/>
        <v>1.0233644402228728</v>
      </c>
      <c r="E3" s="11">
        <f t="shared" si="0"/>
        <v>3.8722728768608317</v>
      </c>
      <c r="F3" s="11">
        <f t="shared" si="0"/>
        <v>0.58845907814070642</v>
      </c>
      <c r="G3" s="11">
        <f t="shared" si="0"/>
        <v>0.26503241040084347</v>
      </c>
      <c r="H3" s="11">
        <f t="shared" si="0"/>
        <v>0.73012616830745447</v>
      </c>
      <c r="I3" s="11">
        <f t="shared" si="0"/>
        <v>0.67978989539054413</v>
      </c>
      <c r="J3" s="11">
        <f t="shared" si="0"/>
        <v>0.82513159773516764</v>
      </c>
      <c r="K3" s="11">
        <f t="shared" si="0"/>
        <v>0.14522590184326489</v>
      </c>
      <c r="L3" s="11">
        <f t="shared" si="0"/>
        <v>0.28309870615998056</v>
      </c>
      <c r="M3" s="11">
        <f t="shared" si="0"/>
        <v>0.70671613394216126</v>
      </c>
      <c r="N3" s="11">
        <f t="shared" si="0"/>
        <v>0.51351652639206291</v>
      </c>
      <c r="O3" s="11">
        <f t="shared" si="0"/>
        <v>0.15425597210969522</v>
      </c>
      <c r="P3" s="11"/>
      <c r="Q3" s="11">
        <f>(Q2/P2)-1</f>
        <v>0.13349491936235669</v>
      </c>
      <c r="R3" s="11">
        <f>(R2/Q2)-1</f>
        <v>-4.0669462949255664E-2</v>
      </c>
      <c r="S3" s="11">
        <f>(S2/R2)-1</f>
        <v>6.8498435423721471E-2</v>
      </c>
    </row>
    <row r="4" spans="1:19" ht="16" x14ac:dyDescent="0.2">
      <c r="A4" s="3" t="s">
        <v>19</v>
      </c>
      <c r="B4" s="4">
        <v>116744000</v>
      </c>
      <c r="C4" s="4">
        <v>204242000</v>
      </c>
      <c r="D4" s="4">
        <v>413256000</v>
      </c>
      <c r="E4" s="4">
        <v>2013496000</v>
      </c>
      <c r="F4" s="4">
        <v>3198356000</v>
      </c>
      <c r="G4" s="4">
        <v>4046024000</v>
      </c>
      <c r="H4" s="4">
        <v>7000132000</v>
      </c>
      <c r="I4" s="4">
        <v>11758751000</v>
      </c>
      <c r="J4" s="4">
        <v>21461268000</v>
      </c>
      <c r="K4" s="4">
        <v>24578000000</v>
      </c>
      <c r="L4" s="4">
        <v>31536000000</v>
      </c>
      <c r="M4" s="4">
        <v>53823000000</v>
      </c>
      <c r="N4" s="4">
        <v>81462000000</v>
      </c>
      <c r="O4" s="5">
        <v>94028000000</v>
      </c>
      <c r="P4" s="4">
        <v>21454000000</v>
      </c>
      <c r="Q4" s="4">
        <v>24318000000</v>
      </c>
      <c r="R4" s="4">
        <v>23329000000</v>
      </c>
      <c r="S4" s="4">
        <v>24927000000</v>
      </c>
    </row>
    <row r="5" spans="1:19" ht="16" x14ac:dyDescent="0.2">
      <c r="A5" s="3" t="s">
        <v>20</v>
      </c>
      <c r="B5" s="4">
        <v>86013000</v>
      </c>
      <c r="C5" s="4">
        <v>142647000</v>
      </c>
      <c r="D5" s="4">
        <v>383189000</v>
      </c>
      <c r="E5" s="4">
        <v>1557234000</v>
      </c>
      <c r="F5" s="4">
        <v>2316685000</v>
      </c>
      <c r="G5" s="4">
        <v>3122521000</v>
      </c>
      <c r="H5" s="4">
        <v>5400875000</v>
      </c>
      <c r="I5" s="4">
        <v>9536264000</v>
      </c>
      <c r="J5" s="4">
        <v>17419247000</v>
      </c>
      <c r="K5" s="4">
        <v>20509000000</v>
      </c>
      <c r="L5" s="4">
        <v>24906000000</v>
      </c>
      <c r="M5" s="4">
        <v>40217000000</v>
      </c>
      <c r="N5" s="4">
        <v>60609000000</v>
      </c>
      <c r="O5" s="5">
        <v>73825000000</v>
      </c>
      <c r="P5" s="4">
        <v>16072000000</v>
      </c>
      <c r="Q5" s="4">
        <v>18541000000</v>
      </c>
      <c r="R5" s="4">
        <v>18818000000</v>
      </c>
      <c r="S5" s="4">
        <v>20394000000</v>
      </c>
    </row>
    <row r="6" spans="1:19" ht="16" x14ac:dyDescent="0.2">
      <c r="A6" s="3" t="s">
        <v>21</v>
      </c>
      <c r="B6" s="4">
        <v>86013000</v>
      </c>
      <c r="C6" s="4">
        <v>142647000</v>
      </c>
      <c r="D6" s="4">
        <v>383189000</v>
      </c>
      <c r="E6" s="4">
        <v>1557234000</v>
      </c>
      <c r="F6" s="4">
        <v>2316685000</v>
      </c>
      <c r="G6" s="4">
        <v>3122521000</v>
      </c>
      <c r="H6" s="4">
        <v>5400875000</v>
      </c>
      <c r="I6" s="4">
        <v>9536264000</v>
      </c>
      <c r="J6" s="4">
        <v>17419247000</v>
      </c>
      <c r="K6" s="4">
        <v>20509000000</v>
      </c>
      <c r="L6" s="4">
        <v>24906000000</v>
      </c>
      <c r="M6" s="4">
        <v>40217000000</v>
      </c>
      <c r="N6" s="4">
        <v>60609000000</v>
      </c>
      <c r="O6" s="5">
        <v>73825000000</v>
      </c>
      <c r="P6" s="4">
        <v>16072000000</v>
      </c>
      <c r="Q6" s="4">
        <v>18541000000</v>
      </c>
      <c r="R6" s="4">
        <v>18818000000</v>
      </c>
      <c r="S6" s="4">
        <v>20394000000</v>
      </c>
    </row>
    <row r="7" spans="1:19" ht="16" x14ac:dyDescent="0.2">
      <c r="A7" s="3" t="s">
        <v>22</v>
      </c>
      <c r="B7" s="4">
        <v>30731000</v>
      </c>
      <c r="C7" s="4">
        <v>61595000</v>
      </c>
      <c r="D7" s="4">
        <v>30067000</v>
      </c>
      <c r="E7" s="4">
        <v>456262000</v>
      </c>
      <c r="F7" s="4">
        <v>881671000</v>
      </c>
      <c r="G7" s="4">
        <v>923503000</v>
      </c>
      <c r="H7" s="4">
        <v>1599257000</v>
      </c>
      <c r="I7" s="4">
        <v>2222487000</v>
      </c>
      <c r="J7" s="4">
        <v>4042021000</v>
      </c>
      <c r="K7" s="4">
        <v>4069000000</v>
      </c>
      <c r="L7" s="4">
        <v>6630000000</v>
      </c>
      <c r="M7" s="4">
        <v>13606000000</v>
      </c>
      <c r="N7" s="4">
        <v>20853000000</v>
      </c>
      <c r="O7" s="5">
        <v>20203000000</v>
      </c>
      <c r="P7" s="4">
        <v>5382000000</v>
      </c>
      <c r="Q7" s="4">
        <v>5777000000</v>
      </c>
      <c r="R7" s="4">
        <v>4511000000</v>
      </c>
      <c r="S7" s="4">
        <v>4533000000</v>
      </c>
    </row>
    <row r="8" spans="1:19" ht="16" x14ac:dyDescent="0.2">
      <c r="A8" s="3" t="s">
        <v>58</v>
      </c>
      <c r="B8" s="6">
        <v>26.32</v>
      </c>
      <c r="C8" s="6">
        <v>30.16</v>
      </c>
      <c r="D8" s="6">
        <v>7.28</v>
      </c>
      <c r="E8" s="6">
        <v>22.66</v>
      </c>
      <c r="F8" s="6">
        <v>27.57</v>
      </c>
      <c r="G8" s="6">
        <v>22.82</v>
      </c>
      <c r="H8" s="6">
        <v>22.85</v>
      </c>
      <c r="I8" s="6">
        <v>18.899999999999999</v>
      </c>
      <c r="J8" s="6">
        <v>18.829999999999998</v>
      </c>
      <c r="K8" s="6">
        <v>16.559999999999999</v>
      </c>
      <c r="L8" s="6">
        <v>21.02</v>
      </c>
      <c r="M8" s="6">
        <v>25.28</v>
      </c>
      <c r="N8" s="6">
        <v>25.6</v>
      </c>
      <c r="O8" s="7">
        <v>21.49</v>
      </c>
      <c r="P8" s="6">
        <v>25.09</v>
      </c>
      <c r="Q8" s="6">
        <v>23.76</v>
      </c>
      <c r="R8" s="6">
        <v>19.34</v>
      </c>
      <c r="S8" s="6">
        <v>18.190000000000001</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177569000</v>
      </c>
      <c r="C10" s="4">
        <v>313083000</v>
      </c>
      <c r="D10" s="4">
        <v>424350000</v>
      </c>
      <c r="E10" s="4">
        <v>517545000</v>
      </c>
      <c r="F10" s="4">
        <v>1068360000</v>
      </c>
      <c r="G10" s="4">
        <v>1640132000</v>
      </c>
      <c r="H10" s="4">
        <v>2266597000</v>
      </c>
      <c r="I10" s="4">
        <v>3854573000</v>
      </c>
      <c r="J10" s="4">
        <v>4294861000</v>
      </c>
      <c r="K10" s="4">
        <v>3989000000</v>
      </c>
      <c r="L10" s="4">
        <v>4636000000</v>
      </c>
      <c r="M10" s="4">
        <v>7110000000</v>
      </c>
      <c r="N10" s="4">
        <v>7021000000</v>
      </c>
      <c r="O10" s="5">
        <v>7517000000</v>
      </c>
      <c r="P10" s="4">
        <v>1694000000</v>
      </c>
      <c r="Q10" s="4">
        <v>1842000000</v>
      </c>
      <c r="R10" s="4">
        <v>1847000000</v>
      </c>
      <c r="S10" s="4">
        <v>2134000000</v>
      </c>
    </row>
    <row r="11" spans="1:19" ht="16" x14ac:dyDescent="0.2">
      <c r="A11" s="23" t="s">
        <v>26</v>
      </c>
      <c r="B11" s="26">
        <v>84573000</v>
      </c>
      <c r="C11" s="26">
        <v>104102000</v>
      </c>
      <c r="D11" s="26">
        <v>150372000</v>
      </c>
      <c r="E11" s="26">
        <v>285569000</v>
      </c>
      <c r="F11" s="26">
        <v>603660000</v>
      </c>
      <c r="G11" s="26">
        <v>922232000</v>
      </c>
      <c r="H11" s="26">
        <v>1432189000</v>
      </c>
      <c r="I11" s="26">
        <v>2476500000</v>
      </c>
      <c r="J11" s="26">
        <v>2834491000</v>
      </c>
      <c r="K11" s="26">
        <v>2646000000</v>
      </c>
      <c r="L11" s="26">
        <v>3145000000</v>
      </c>
      <c r="M11" s="26">
        <v>4517000000</v>
      </c>
      <c r="N11" s="26">
        <v>3946000000</v>
      </c>
      <c r="O11" s="27">
        <v>4260000000</v>
      </c>
      <c r="P11" s="26">
        <v>961000000</v>
      </c>
      <c r="Q11" s="26">
        <v>1032000000</v>
      </c>
      <c r="R11" s="26">
        <v>1076000000</v>
      </c>
      <c r="S11" s="26">
        <v>1191000000</v>
      </c>
    </row>
    <row r="12" spans="1:19" ht="16" x14ac:dyDescent="0.2">
      <c r="A12" s="12" t="s">
        <v>192</v>
      </c>
      <c r="B12" s="11">
        <f t="shared" ref="B12:S12" si="1">B11/B2</f>
        <v>0.72443123415336119</v>
      </c>
      <c r="C12" s="11">
        <f t="shared" si="1"/>
        <v>0.50969927830710626</v>
      </c>
      <c r="D12" s="11">
        <f t="shared" si="1"/>
        <v>0.36387130495383008</v>
      </c>
      <c r="E12" s="11">
        <f t="shared" si="1"/>
        <v>0.14182744837834294</v>
      </c>
      <c r="F12" s="11">
        <f t="shared" si="1"/>
        <v>0.18874071554261002</v>
      </c>
      <c r="G12" s="11">
        <f t="shared" si="1"/>
        <v>0.22793537556870647</v>
      </c>
      <c r="H12" s="11">
        <f t="shared" si="1"/>
        <v>0.2045945705023848</v>
      </c>
      <c r="I12" s="11">
        <f t="shared" si="1"/>
        <v>0.21060910295659802</v>
      </c>
      <c r="J12" s="11">
        <f t="shared" si="1"/>
        <v>0.13207472177319626</v>
      </c>
      <c r="K12" s="11">
        <f t="shared" si="1"/>
        <v>0.10765725445520384</v>
      </c>
      <c r="L12" s="11">
        <f t="shared" si="1"/>
        <v>9.9727295788939629E-2</v>
      </c>
      <c r="M12" s="11">
        <f t="shared" si="1"/>
        <v>8.3923229845976624E-2</v>
      </c>
      <c r="N12" s="11">
        <f t="shared" si="1"/>
        <v>4.8439763325231394E-2</v>
      </c>
      <c r="O12" s="11">
        <f t="shared" si="1"/>
        <v>4.5305653635087421E-2</v>
      </c>
      <c r="P12" s="11">
        <f t="shared" si="1"/>
        <v>4.4793511699449985E-2</v>
      </c>
      <c r="Q12" s="11">
        <f t="shared" si="1"/>
        <v>4.2437700468788551E-2</v>
      </c>
      <c r="R12" s="11">
        <f t="shared" si="1"/>
        <v>4.6122851386686099E-2</v>
      </c>
      <c r="S12" s="11">
        <f t="shared" si="1"/>
        <v>4.7779516187266821E-2</v>
      </c>
    </row>
    <row r="13" spans="1:19" ht="16" x14ac:dyDescent="0.2">
      <c r="A13" s="23" t="s">
        <v>27</v>
      </c>
      <c r="B13" s="26">
        <v>92996000</v>
      </c>
      <c r="C13" s="26">
        <v>208981000</v>
      </c>
      <c r="D13" s="26">
        <v>273978000</v>
      </c>
      <c r="E13" s="26">
        <v>231976000</v>
      </c>
      <c r="F13" s="26">
        <v>464700000</v>
      </c>
      <c r="G13" s="26">
        <v>717900000</v>
      </c>
      <c r="H13" s="26">
        <v>834408000</v>
      </c>
      <c r="I13" s="26">
        <v>1378073000</v>
      </c>
      <c r="J13" s="26">
        <v>1460370000</v>
      </c>
      <c r="K13" s="26">
        <v>1343000000</v>
      </c>
      <c r="L13" s="26">
        <v>1491000000</v>
      </c>
      <c r="M13" s="26">
        <v>2593000000</v>
      </c>
      <c r="N13" s="26">
        <v>3075000000</v>
      </c>
      <c r="O13" s="27">
        <v>3257000000</v>
      </c>
      <c r="P13" s="26">
        <v>733000000</v>
      </c>
      <c r="Q13" s="26">
        <v>810000000</v>
      </c>
      <c r="R13" s="26">
        <v>771000000</v>
      </c>
      <c r="S13" s="26">
        <v>943000000</v>
      </c>
    </row>
    <row r="14" spans="1:19" ht="16" x14ac:dyDescent="0.2">
      <c r="A14" s="12" t="s">
        <v>193</v>
      </c>
      <c r="B14" s="11">
        <f t="shared" ref="B14:S14" si="2">B13/B2</f>
        <v>0.79658055231960534</v>
      </c>
      <c r="C14" s="11">
        <f t="shared" si="2"/>
        <v>1.0232028671869644</v>
      </c>
      <c r="D14" s="11">
        <f t="shared" si="2"/>
        <v>0.66297404030431495</v>
      </c>
      <c r="E14" s="11">
        <f t="shared" si="2"/>
        <v>0.11521055914687688</v>
      </c>
      <c r="F14" s="11">
        <f t="shared" si="2"/>
        <v>0.14529339448141482</v>
      </c>
      <c r="G14" s="11">
        <f t="shared" si="2"/>
        <v>0.17743345071606101</v>
      </c>
      <c r="H14" s="11">
        <f t="shared" si="2"/>
        <v>0.11919889510654942</v>
      </c>
      <c r="I14" s="11">
        <f t="shared" si="2"/>
        <v>0.11719552527304983</v>
      </c>
      <c r="J14" s="11">
        <f t="shared" si="2"/>
        <v>6.8046771514152851E-2</v>
      </c>
      <c r="K14" s="11">
        <f t="shared" si="2"/>
        <v>5.4642363088941333E-2</v>
      </c>
      <c r="L14" s="11">
        <f t="shared" si="2"/>
        <v>4.7279299847792999E-2</v>
      </c>
      <c r="M14" s="11">
        <f t="shared" si="2"/>
        <v>4.817643015067908E-2</v>
      </c>
      <c r="N14" s="11">
        <f t="shared" si="2"/>
        <v>3.7747661486337188E-2</v>
      </c>
      <c r="O14" s="11">
        <f t="shared" si="2"/>
        <v>3.4638618283915429E-2</v>
      </c>
      <c r="P14" s="11">
        <f t="shared" si="2"/>
        <v>3.4166122867530534E-2</v>
      </c>
      <c r="Q14" s="11">
        <f t="shared" si="2"/>
        <v>3.3308660251665435E-2</v>
      </c>
      <c r="R14" s="11">
        <f t="shared" si="2"/>
        <v>3.3048994813322477E-2</v>
      </c>
      <c r="S14" s="11">
        <f t="shared" si="2"/>
        <v>3.7830464957676418E-2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8" t="s">
        <v>29</v>
      </c>
      <c r="B16" s="26">
        <v>-146838000</v>
      </c>
      <c r="C16" s="26">
        <v>-251488000</v>
      </c>
      <c r="D16" s="26">
        <v>-394283000</v>
      </c>
      <c r="E16" s="26">
        <v>-61283000</v>
      </c>
      <c r="F16" s="26">
        <v>-186689000</v>
      </c>
      <c r="G16" s="26">
        <v>-716629000</v>
      </c>
      <c r="H16" s="26">
        <v>-667340000</v>
      </c>
      <c r="I16" s="26">
        <v>-1632086000</v>
      </c>
      <c r="J16" s="26">
        <v>-252840000</v>
      </c>
      <c r="K16" s="26">
        <v>80000000</v>
      </c>
      <c r="L16" s="26">
        <v>1994000000</v>
      </c>
      <c r="M16" s="26">
        <v>6496000000</v>
      </c>
      <c r="N16" s="26">
        <v>13832000000</v>
      </c>
      <c r="O16" s="27">
        <v>12686000000</v>
      </c>
      <c r="P16" s="26">
        <v>3688000000</v>
      </c>
      <c r="Q16" s="26">
        <v>3935000000</v>
      </c>
      <c r="R16" s="26">
        <v>2664000000</v>
      </c>
      <c r="S16" s="26">
        <v>2399000000</v>
      </c>
    </row>
    <row r="17" spans="1:19" ht="16" x14ac:dyDescent="0.2">
      <c r="A17" s="23" t="s">
        <v>59</v>
      </c>
      <c r="B17" s="29">
        <v>-125.78</v>
      </c>
      <c r="C17" s="29">
        <v>-123.13</v>
      </c>
      <c r="D17" s="29">
        <v>-95.41</v>
      </c>
      <c r="E17" s="29">
        <v>-3.04</v>
      </c>
      <c r="F17" s="29">
        <v>-5.84</v>
      </c>
      <c r="G17" s="29">
        <v>-17.71</v>
      </c>
      <c r="H17" s="29">
        <v>-9.5299999999999994</v>
      </c>
      <c r="I17" s="29">
        <v>-13.88</v>
      </c>
      <c r="J17" s="29">
        <v>-1.18</v>
      </c>
      <c r="K17" s="29">
        <v>0.33</v>
      </c>
      <c r="L17" s="29">
        <v>6.32</v>
      </c>
      <c r="M17" s="29">
        <v>12.07</v>
      </c>
      <c r="N17" s="29">
        <v>16.98</v>
      </c>
      <c r="O17" s="30">
        <v>13.49</v>
      </c>
      <c r="P17" s="29">
        <v>17.190000000000001</v>
      </c>
      <c r="Q17" s="29">
        <v>16.18</v>
      </c>
      <c r="R17" s="29">
        <v>11.42</v>
      </c>
      <c r="S17" s="29">
        <v>9.6199999999999992</v>
      </c>
    </row>
    <row r="18" spans="1:19" ht="16" x14ac:dyDescent="0.2">
      <c r="A18" s="13" t="s">
        <v>194</v>
      </c>
      <c r="B18" s="10"/>
      <c r="C18" s="11">
        <f>(C16/B16)-1</f>
        <v>0.71269017556763226</v>
      </c>
      <c r="D18" s="11">
        <f>(D16/C16)-1</f>
        <v>0.56780045171141369</v>
      </c>
      <c r="E18" s="11">
        <f>(E16/D16)-1</f>
        <v>-0.84457103146724566</v>
      </c>
      <c r="F18" s="11">
        <f t="shared" ref="F18:N18" si="3">(F16/E16)-1</f>
        <v>2.0463423787999933</v>
      </c>
      <c r="G18" s="11">
        <f t="shared" si="3"/>
        <v>2.8386246645490627</v>
      </c>
      <c r="H18" s="11">
        <f t="shared" si="3"/>
        <v>-6.877896373158221E-2</v>
      </c>
      <c r="I18" s="11">
        <f t="shared" si="3"/>
        <v>1.4456588845266283</v>
      </c>
      <c r="J18" s="11">
        <f t="shared" si="3"/>
        <v>-0.84508169299902092</v>
      </c>
      <c r="K18" s="11">
        <f t="shared" si="3"/>
        <v>-1.31640563202025</v>
      </c>
      <c r="L18" s="11">
        <f t="shared" si="3"/>
        <v>23.925000000000001</v>
      </c>
      <c r="M18" s="11">
        <f t="shared" si="3"/>
        <v>2.2577733199598797</v>
      </c>
      <c r="N18" s="11">
        <f t="shared" si="3"/>
        <v>1.1293103448275863</v>
      </c>
      <c r="O18" s="11">
        <f>(O16/N16)-1</f>
        <v>-8.2851359167148586E-2</v>
      </c>
      <c r="P18" s="11"/>
      <c r="Q18" s="11">
        <f>(Q16/P16)-1</f>
        <v>6.6973969631236363E-2</v>
      </c>
      <c r="R18" s="11">
        <f>(R16/Q16)-1</f>
        <v>-0.32299872935196949</v>
      </c>
      <c r="S18" s="11">
        <f>(S16/R16)-1</f>
        <v>-9.9474474474474439E-2</v>
      </c>
    </row>
    <row r="19" spans="1:19" ht="16" x14ac:dyDescent="0.2">
      <c r="A19" s="3" t="s">
        <v>30</v>
      </c>
      <c r="B19" s="4">
        <v>7317000</v>
      </c>
      <c r="C19" s="4">
        <v>2434000</v>
      </c>
      <c r="D19" s="4">
        <v>1794000</v>
      </c>
      <c r="E19" s="4">
        <v>10143000</v>
      </c>
      <c r="F19" s="4">
        <v>97947000</v>
      </c>
      <c r="G19" s="4">
        <v>158995000</v>
      </c>
      <c r="H19" s="4">
        <v>79008000</v>
      </c>
      <c r="I19" s="4">
        <v>576946000</v>
      </c>
      <c r="J19" s="4">
        <v>751905000</v>
      </c>
      <c r="K19" s="4">
        <v>745000000</v>
      </c>
      <c r="L19" s="4">
        <v>840000000</v>
      </c>
      <c r="M19" s="4">
        <v>153000000</v>
      </c>
      <c r="N19" s="4">
        <v>113000000</v>
      </c>
      <c r="O19" s="5">
        <v>-670000000</v>
      </c>
      <c r="P19" s="4">
        <v>52000000</v>
      </c>
      <c r="Q19" s="4">
        <v>-48000000</v>
      </c>
      <c r="R19" s="4">
        <v>-136000000</v>
      </c>
      <c r="S19" s="4">
        <v>-538000000</v>
      </c>
    </row>
    <row r="20" spans="1:19" ht="16" x14ac:dyDescent="0.2">
      <c r="A20" s="3" t="s">
        <v>31</v>
      </c>
      <c r="B20" s="4">
        <v>734000</v>
      </c>
      <c r="C20" s="4">
        <v>-212000</v>
      </c>
      <c r="D20" s="4">
        <v>-34000</v>
      </c>
      <c r="E20" s="4">
        <v>32745000</v>
      </c>
      <c r="F20" s="4">
        <v>99760000</v>
      </c>
      <c r="G20" s="4">
        <v>117343000</v>
      </c>
      <c r="H20" s="4">
        <v>190280000</v>
      </c>
      <c r="I20" s="4">
        <v>451573000</v>
      </c>
      <c r="J20" s="4">
        <v>638538000</v>
      </c>
      <c r="K20" s="4">
        <v>641000000</v>
      </c>
      <c r="L20" s="4">
        <v>718000000</v>
      </c>
      <c r="M20" s="4">
        <v>315000000</v>
      </c>
      <c r="N20" s="4">
        <v>-106000000</v>
      </c>
      <c r="O20" s="5">
        <v>-551000000</v>
      </c>
      <c r="P20" s="4">
        <v>-33000000</v>
      </c>
      <c r="Q20" s="4">
        <v>-124000000</v>
      </c>
      <c r="R20" s="4">
        <v>-184000000</v>
      </c>
      <c r="S20" s="4">
        <v>-210000000</v>
      </c>
    </row>
    <row r="21" spans="1:19" ht="16" x14ac:dyDescent="0.2">
      <c r="A21" s="3" t="s">
        <v>32</v>
      </c>
      <c r="B21" s="4">
        <v>992000</v>
      </c>
      <c r="C21" s="4">
        <v>43000</v>
      </c>
      <c r="D21" s="4">
        <v>254000</v>
      </c>
      <c r="E21" s="4">
        <v>32934000</v>
      </c>
      <c r="F21" s="4">
        <v>100886000</v>
      </c>
      <c r="G21" s="4">
        <v>118851000</v>
      </c>
      <c r="H21" s="4">
        <v>198810000</v>
      </c>
      <c r="I21" s="4">
        <v>471259000</v>
      </c>
      <c r="J21" s="4">
        <v>663071000</v>
      </c>
      <c r="K21" s="4">
        <v>685000000</v>
      </c>
      <c r="L21" s="4">
        <v>748000000</v>
      </c>
      <c r="M21" s="4">
        <v>371000000</v>
      </c>
      <c r="N21" s="4">
        <v>191000000</v>
      </c>
      <c r="O21" s="5">
        <v>143000000</v>
      </c>
      <c r="P21" s="4">
        <v>53000000</v>
      </c>
      <c r="Q21" s="4">
        <v>33000000</v>
      </c>
      <c r="R21" s="4">
        <v>29000000</v>
      </c>
      <c r="S21" s="4">
        <v>28000000</v>
      </c>
    </row>
    <row r="22" spans="1:19" ht="16" x14ac:dyDescent="0.2">
      <c r="A22" s="3" t="s">
        <v>33</v>
      </c>
      <c r="B22" s="4">
        <v>258000</v>
      </c>
      <c r="C22" s="4">
        <v>255000</v>
      </c>
      <c r="D22" s="4">
        <v>288000</v>
      </c>
      <c r="E22" s="4">
        <v>189000</v>
      </c>
      <c r="F22" s="4">
        <v>1126000</v>
      </c>
      <c r="G22" s="4">
        <v>1508000</v>
      </c>
      <c r="H22" s="4">
        <v>8530000</v>
      </c>
      <c r="I22" s="4">
        <v>19686000</v>
      </c>
      <c r="J22" s="4">
        <v>24533000</v>
      </c>
      <c r="K22" s="4">
        <v>44000000</v>
      </c>
      <c r="L22" s="4">
        <v>30000000</v>
      </c>
      <c r="M22" s="4">
        <v>56000000</v>
      </c>
      <c r="N22" s="4">
        <v>297000000</v>
      </c>
      <c r="O22" s="5">
        <v>694000000</v>
      </c>
      <c r="P22" s="4">
        <v>86000000</v>
      </c>
      <c r="Q22" s="4">
        <v>157000000</v>
      </c>
      <c r="R22" s="4">
        <v>213000000</v>
      </c>
      <c r="S22" s="4">
        <v>238000000</v>
      </c>
    </row>
    <row r="23" spans="1:19" ht="16" x14ac:dyDescent="0.2">
      <c r="A23" s="3" t="s">
        <v>34</v>
      </c>
      <c r="B23" s="4">
        <v>6583000</v>
      </c>
      <c r="C23" s="4">
        <v>2646000</v>
      </c>
      <c r="D23" s="4">
        <v>1828000</v>
      </c>
      <c r="E23" s="4">
        <v>-22602000</v>
      </c>
      <c r="F23" s="4">
        <v>-1813000</v>
      </c>
      <c r="G23" s="4">
        <v>41652000</v>
      </c>
      <c r="H23" s="4">
        <v>-111272000</v>
      </c>
      <c r="I23" s="4">
        <v>125373000</v>
      </c>
      <c r="J23" s="4">
        <v>113367000</v>
      </c>
      <c r="K23" s="4">
        <v>104000000</v>
      </c>
      <c r="L23" s="4">
        <v>122000000</v>
      </c>
      <c r="M23" s="4">
        <v>-162000000</v>
      </c>
      <c r="N23" s="4">
        <v>219000000</v>
      </c>
      <c r="O23" s="5">
        <v>-119000000</v>
      </c>
      <c r="P23" s="4">
        <v>85000000</v>
      </c>
      <c r="Q23" s="4">
        <v>76000000</v>
      </c>
      <c r="R23" s="4">
        <v>48000000</v>
      </c>
      <c r="S23" s="4">
        <v>-328000000</v>
      </c>
    </row>
    <row r="24" spans="1:19" ht="16" x14ac:dyDescent="0.2">
      <c r="A24" s="3" t="s">
        <v>35</v>
      </c>
      <c r="B24" s="4">
        <v>-154155000</v>
      </c>
      <c r="C24" s="4">
        <v>-253922000</v>
      </c>
      <c r="D24" s="4">
        <v>-396077000</v>
      </c>
      <c r="E24" s="4">
        <v>-71426000</v>
      </c>
      <c r="F24" s="4">
        <v>-284636000</v>
      </c>
      <c r="G24" s="4">
        <v>-875624000</v>
      </c>
      <c r="H24" s="4">
        <v>-746348000</v>
      </c>
      <c r="I24" s="4">
        <v>-2209032000</v>
      </c>
      <c r="J24" s="4">
        <v>-1004745000</v>
      </c>
      <c r="K24" s="4">
        <v>-665000000</v>
      </c>
      <c r="L24" s="4">
        <v>1154000000</v>
      </c>
      <c r="M24" s="4">
        <v>6343000000</v>
      </c>
      <c r="N24" s="4">
        <v>13719000000</v>
      </c>
      <c r="O24" s="5">
        <v>13356000000</v>
      </c>
      <c r="P24" s="4">
        <v>3636000000</v>
      </c>
      <c r="Q24" s="4">
        <v>3983000000</v>
      </c>
      <c r="R24" s="4">
        <v>2800000000</v>
      </c>
      <c r="S24" s="4">
        <v>2937000000</v>
      </c>
    </row>
    <row r="25" spans="1:19" ht="16" x14ac:dyDescent="0.2">
      <c r="A25" s="3" t="s">
        <v>36</v>
      </c>
      <c r="B25" s="4">
        <v>173000</v>
      </c>
      <c r="C25" s="4">
        <v>489000</v>
      </c>
      <c r="D25" s="4">
        <v>136000</v>
      </c>
      <c r="E25" s="4">
        <v>2588000</v>
      </c>
      <c r="F25" s="4">
        <v>9404000</v>
      </c>
      <c r="G25" s="4">
        <v>13039000</v>
      </c>
      <c r="H25" s="4">
        <v>26698000</v>
      </c>
      <c r="I25" s="4">
        <v>31546000</v>
      </c>
      <c r="J25" s="4">
        <v>57837000</v>
      </c>
      <c r="K25" s="4">
        <v>110000000</v>
      </c>
      <c r="L25" s="4">
        <v>292000000</v>
      </c>
      <c r="M25" s="4">
        <v>699000000</v>
      </c>
      <c r="N25" s="4">
        <v>1132000000</v>
      </c>
      <c r="O25" s="5">
        <v>1165000000</v>
      </c>
      <c r="P25" s="4">
        <v>305000000</v>
      </c>
      <c r="Q25" s="4">
        <v>276000000</v>
      </c>
      <c r="R25" s="4">
        <v>261000000</v>
      </c>
      <c r="S25" s="4">
        <v>323000000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-154328000</v>
      </c>
      <c r="C27" s="4">
        <v>-254411000</v>
      </c>
      <c r="D27" s="4">
        <v>-396213000</v>
      </c>
      <c r="E27" s="4">
        <v>-74014000</v>
      </c>
      <c r="F27" s="4">
        <v>-294040000</v>
      </c>
      <c r="G27" s="4">
        <v>-888663000</v>
      </c>
      <c r="H27" s="4">
        <v>-773046000</v>
      </c>
      <c r="I27" s="4">
        <v>-2240578000</v>
      </c>
      <c r="J27" s="4">
        <v>-1062582000</v>
      </c>
      <c r="K27" s="4">
        <v>-775000000</v>
      </c>
      <c r="L27" s="4">
        <v>862000000</v>
      </c>
      <c r="M27" s="4">
        <v>5644000000</v>
      </c>
      <c r="N27" s="4">
        <v>12587000000</v>
      </c>
      <c r="O27" s="5">
        <v>12191000000</v>
      </c>
      <c r="P27" s="4">
        <v>3331000000</v>
      </c>
      <c r="Q27" s="4">
        <v>3707000000</v>
      </c>
      <c r="R27" s="4">
        <v>2539000000</v>
      </c>
      <c r="S27" s="4">
        <v>2614000000</v>
      </c>
    </row>
    <row r="28" spans="1:19" ht="16" x14ac:dyDescent="0.2">
      <c r="A28" s="3" t="s">
        <v>39</v>
      </c>
      <c r="B28" s="4" t="s">
        <v>24</v>
      </c>
      <c r="C28" s="4" t="s">
        <v>24</v>
      </c>
      <c r="D28" s="4" t="s">
        <v>24</v>
      </c>
      <c r="E28" s="4" t="s">
        <v>24</v>
      </c>
      <c r="F28" s="4" t="s">
        <v>24</v>
      </c>
      <c r="G28" s="4" t="s">
        <v>24</v>
      </c>
      <c r="H28" s="4">
        <v>-196264000</v>
      </c>
      <c r="I28" s="4">
        <v>-558356000</v>
      </c>
      <c r="J28" s="4">
        <v>-172982000</v>
      </c>
      <c r="K28" s="4">
        <v>174000000</v>
      </c>
      <c r="L28" s="4">
        <v>344000000</v>
      </c>
      <c r="M28" s="4">
        <v>250000000</v>
      </c>
      <c r="N28" s="4">
        <v>8000000</v>
      </c>
      <c r="O28" s="5">
        <v>-8000000</v>
      </c>
      <c r="P28" s="4">
        <v>78000000</v>
      </c>
      <c r="Q28" s="4">
        <v>40000000</v>
      </c>
      <c r="R28" s="4">
        <v>52000000</v>
      </c>
      <c r="S28" s="4">
        <v>-178000000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-196264000</v>
      </c>
      <c r="I30" s="4">
        <v>-558356000</v>
      </c>
      <c r="J30" s="4">
        <v>-172982000</v>
      </c>
      <c r="K30" s="4">
        <v>174000000</v>
      </c>
      <c r="L30" s="4">
        <v>344000000</v>
      </c>
      <c r="M30" s="4">
        <v>250000000</v>
      </c>
      <c r="N30" s="4">
        <v>8000000</v>
      </c>
      <c r="O30" s="5">
        <v>-8000000</v>
      </c>
      <c r="P30" s="4">
        <v>78000000</v>
      </c>
      <c r="Q30" s="4">
        <v>40000000</v>
      </c>
      <c r="R30" s="4">
        <v>52000000</v>
      </c>
      <c r="S30" s="4">
        <v>-178000000</v>
      </c>
    </row>
    <row r="31" spans="1:19" ht="16" x14ac:dyDescent="0.2">
      <c r="A31" s="3" t="s">
        <v>42</v>
      </c>
      <c r="B31" s="4">
        <v>-154328000</v>
      </c>
      <c r="C31" s="4">
        <v>-254411000</v>
      </c>
      <c r="D31" s="4">
        <v>-396213000</v>
      </c>
      <c r="E31" s="4">
        <v>-74014000</v>
      </c>
      <c r="F31" s="4">
        <v>-294040000</v>
      </c>
      <c r="G31" s="4">
        <v>-888663000</v>
      </c>
      <c r="H31" s="4">
        <v>-576782000</v>
      </c>
      <c r="I31" s="4">
        <v>-1682222000</v>
      </c>
      <c r="J31" s="4">
        <v>-889600000</v>
      </c>
      <c r="K31" s="4">
        <v>-949000000</v>
      </c>
      <c r="L31" s="4">
        <v>518000000</v>
      </c>
      <c r="M31" s="4">
        <v>5394000000</v>
      </c>
      <c r="N31" s="4">
        <v>12579000000</v>
      </c>
      <c r="O31" s="5">
        <v>12199000000</v>
      </c>
      <c r="P31" s="4">
        <v>3253000000</v>
      </c>
      <c r="Q31" s="4">
        <v>3667000000</v>
      </c>
      <c r="R31" s="4">
        <v>2487000000</v>
      </c>
      <c r="S31" s="4">
        <v>2792000000</v>
      </c>
    </row>
    <row r="32" spans="1:19" ht="16" x14ac:dyDescent="0.2">
      <c r="A32" s="3" t="s">
        <v>43</v>
      </c>
      <c r="B32" s="4" t="s">
        <v>24</v>
      </c>
      <c r="C32" s="4" t="s">
        <v>24</v>
      </c>
      <c r="D32" s="4" t="s">
        <v>24</v>
      </c>
      <c r="E32" s="4" t="s">
        <v>24</v>
      </c>
      <c r="F32" s="4" t="s">
        <v>24</v>
      </c>
      <c r="G32" s="4" t="s">
        <v>24</v>
      </c>
      <c r="H32" s="4">
        <v>98132000</v>
      </c>
      <c r="I32" s="4">
        <v>279178000</v>
      </c>
      <c r="J32" s="4">
        <v>86491000</v>
      </c>
      <c r="K32" s="4">
        <v>-87000000</v>
      </c>
      <c r="L32" s="4">
        <v>-172000000</v>
      </c>
      <c r="M32" s="4">
        <v>-125000000</v>
      </c>
      <c r="N32" s="4">
        <v>-4000000</v>
      </c>
      <c r="O32" s="5">
        <v>4000000</v>
      </c>
      <c r="P32" s="4">
        <v>-39000000</v>
      </c>
      <c r="Q32" s="4">
        <v>-20000000</v>
      </c>
      <c r="R32" s="4">
        <v>-26000000</v>
      </c>
      <c r="S32" s="4">
        <v>89000000</v>
      </c>
    </row>
    <row r="33" spans="1:19" ht="16" x14ac:dyDescent="0.2">
      <c r="A33" s="28" t="s">
        <v>44</v>
      </c>
      <c r="B33" s="26">
        <v>-154328000</v>
      </c>
      <c r="C33" s="26">
        <v>-254411000</v>
      </c>
      <c r="D33" s="26">
        <v>-396213000</v>
      </c>
      <c r="E33" s="26">
        <v>-74014000</v>
      </c>
      <c r="F33" s="26">
        <v>-294040000</v>
      </c>
      <c r="G33" s="26">
        <v>-888663000</v>
      </c>
      <c r="H33" s="26">
        <v>-674914000</v>
      </c>
      <c r="I33" s="26">
        <v>-1961400000</v>
      </c>
      <c r="J33" s="26">
        <v>-976091000</v>
      </c>
      <c r="K33" s="26">
        <v>-862000000</v>
      </c>
      <c r="L33" s="26">
        <v>690000000</v>
      </c>
      <c r="M33" s="26">
        <v>5519000000</v>
      </c>
      <c r="N33" s="26">
        <v>12583000000</v>
      </c>
      <c r="O33" s="27">
        <v>12195000000</v>
      </c>
      <c r="P33" s="26">
        <v>3292000000</v>
      </c>
      <c r="Q33" s="26">
        <v>3687000000</v>
      </c>
      <c r="R33" s="26">
        <v>2513000000</v>
      </c>
      <c r="S33" s="26">
        <v>2703000000</v>
      </c>
    </row>
    <row r="34" spans="1:19" ht="16" x14ac:dyDescent="0.2">
      <c r="A34" s="23" t="s">
        <v>60</v>
      </c>
      <c r="B34" s="29">
        <v>-132.19</v>
      </c>
      <c r="C34" s="29">
        <v>-124.56</v>
      </c>
      <c r="D34" s="29">
        <v>-95.88</v>
      </c>
      <c r="E34" s="29">
        <v>-3.68</v>
      </c>
      <c r="F34" s="29">
        <v>-9.19</v>
      </c>
      <c r="G34" s="29">
        <v>-21.96</v>
      </c>
      <c r="H34" s="29">
        <v>-9.64</v>
      </c>
      <c r="I34" s="29">
        <v>-16.68</v>
      </c>
      <c r="J34" s="29">
        <v>-4.55</v>
      </c>
      <c r="K34" s="29">
        <v>-3.51</v>
      </c>
      <c r="L34" s="29">
        <v>2.19</v>
      </c>
      <c r="M34" s="29">
        <v>10.25</v>
      </c>
      <c r="N34" s="29">
        <v>15.45</v>
      </c>
      <c r="O34" s="30">
        <v>12.97</v>
      </c>
      <c r="P34" s="29">
        <v>15.34</v>
      </c>
      <c r="Q34" s="29">
        <v>15.16</v>
      </c>
      <c r="R34" s="29">
        <v>10.77</v>
      </c>
      <c r="S34" s="29">
        <v>10.84</v>
      </c>
    </row>
    <row r="35" spans="1:19" ht="16" x14ac:dyDescent="0.2">
      <c r="A35" s="14" t="s">
        <v>195</v>
      </c>
      <c r="B35" s="15"/>
      <c r="C35" s="16">
        <f>(C33/B33)-1</f>
        <v>0.64850837177958631</v>
      </c>
      <c r="D35" s="16">
        <f>(D33/C33)-1</f>
        <v>0.55737369846429585</v>
      </c>
      <c r="E35" s="16">
        <f>(E33/D33)-1</f>
        <v>-0.81319643726985236</v>
      </c>
      <c r="F35" s="16">
        <f t="shared" ref="F35:N35" si="4">(F33/E33)-1</f>
        <v>2.972761909908936</v>
      </c>
      <c r="G35" s="16">
        <f t="shared" si="4"/>
        <v>2.0222520745476804</v>
      </c>
      <c r="H35" s="16">
        <f t="shared" si="4"/>
        <v>-0.24052874936843327</v>
      </c>
      <c r="I35" s="16">
        <f t="shared" si="4"/>
        <v>1.9061480425654231</v>
      </c>
      <c r="J35" s="16">
        <f t="shared" si="4"/>
        <v>-0.50234985214642602</v>
      </c>
      <c r="K35" s="16">
        <f t="shared" si="4"/>
        <v>-0.11688561824665933</v>
      </c>
      <c r="L35" s="16">
        <f t="shared" si="4"/>
        <v>-1.8004640371229699</v>
      </c>
      <c r="M35" s="16">
        <f t="shared" si="4"/>
        <v>6.9985507246376812</v>
      </c>
      <c r="N35" s="16">
        <f t="shared" si="4"/>
        <v>1.2799420184816088</v>
      </c>
      <c r="O35" s="16">
        <f>(O33/N33)-1</f>
        <v>-3.0835253914010985E-2</v>
      </c>
      <c r="P35" s="16"/>
      <c r="Q35" s="16">
        <f>(Q33/P33)-1</f>
        <v>0.11998784933171325</v>
      </c>
      <c r="R35" s="16">
        <f>(R33/Q33)-1</f>
        <v>-0.31841605641442905</v>
      </c>
      <c r="S35" s="16">
        <f>(S33/R33)-1</f>
        <v>7.5606844409072727E-2</v>
      </c>
    </row>
    <row r="36" spans="1:19" ht="16" x14ac:dyDescent="0.2">
      <c r="A36" s="17" t="s">
        <v>196</v>
      </c>
      <c r="B36" s="18">
        <f t="shared" ref="B36:S36" si="5">(B16*(1-0.25))/(B126+B105+B96)</f>
        <v>-0.39380692362981001</v>
      </c>
      <c r="C36" s="18">
        <f t="shared" si="5"/>
        <v>-0.37409484066617349</v>
      </c>
      <c r="D36" s="18">
        <f t="shared" si="5"/>
        <v>-0.45735323002971051</v>
      </c>
      <c r="E36" s="18">
        <f t="shared" si="5"/>
        <v>-3.5854701954828094E-2</v>
      </c>
      <c r="F36" s="18">
        <f t="shared" si="5"/>
        <v>-3.472709135629528E-2</v>
      </c>
      <c r="G36" s="18">
        <f t="shared" si="5"/>
        <v>-0.12111507212640797</v>
      </c>
      <c r="H36" s="18">
        <f t="shared" si="5"/>
        <v>-3.8401262096084902E-2</v>
      </c>
      <c r="I36" s="18">
        <f t="shared" si="5"/>
        <v>-7.6757041648533975E-2</v>
      </c>
      <c r="J36" s="18">
        <f t="shared" si="5"/>
        <v>-1.0370809913603929E-2</v>
      </c>
      <c r="K36" s="18">
        <f t="shared" si="5"/>
        <v>2.7869385480050165E-3</v>
      </c>
      <c r="L36" s="18">
        <f t="shared" si="5"/>
        <v>4.222429273250889E-2</v>
      </c>
      <c r="M36" s="18">
        <f t="shared" si="5"/>
        <v>0.12681885623552072</v>
      </c>
      <c r="N36" s="18">
        <f t="shared" si="5"/>
        <v>0.21172724860705758</v>
      </c>
      <c r="O36" s="18">
        <f t="shared" si="5"/>
        <v>0.174536349127731</v>
      </c>
      <c r="P36" s="18">
        <f t="shared" si="5"/>
        <v>5.8853568236946256E-2</v>
      </c>
      <c r="Q36" s="18">
        <f t="shared" si="5"/>
        <v>6.023327958854624E-2</v>
      </c>
      <c r="R36" s="18">
        <f t="shared" si="5"/>
        <v>3.8488952245188883E-2</v>
      </c>
      <c r="S36" s="18">
        <f t="shared" si="5"/>
        <v>3.3005888503659681E-2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-154328000</v>
      </c>
      <c r="C39" s="4">
        <v>-254411000</v>
      </c>
      <c r="D39" s="4">
        <v>-396213000</v>
      </c>
      <c r="E39" s="4">
        <v>-74014000</v>
      </c>
      <c r="F39" s="4">
        <v>-294040000</v>
      </c>
      <c r="G39" s="4">
        <v>-888663000</v>
      </c>
      <c r="H39" s="4">
        <v>-674914000</v>
      </c>
      <c r="I39" s="4">
        <v>-1961400000</v>
      </c>
      <c r="J39" s="4">
        <v>-976091000</v>
      </c>
      <c r="K39" s="4">
        <v>-862000000</v>
      </c>
      <c r="L39" s="4">
        <v>690000000</v>
      </c>
      <c r="M39" s="4">
        <v>5519000000</v>
      </c>
      <c r="N39" s="4">
        <v>12583000000</v>
      </c>
      <c r="O39" s="5">
        <v>12195000000</v>
      </c>
      <c r="P39" s="4">
        <v>3292000000</v>
      </c>
      <c r="Q39" s="4">
        <v>3687000000</v>
      </c>
      <c r="R39" s="4">
        <v>2513000000</v>
      </c>
      <c r="S39" s="4">
        <v>2703000000</v>
      </c>
    </row>
    <row r="40" spans="1:19" ht="16" x14ac:dyDescent="0.2">
      <c r="A40" s="3" t="s">
        <v>48</v>
      </c>
      <c r="B40" s="4">
        <v>760774530</v>
      </c>
      <c r="C40" s="4">
        <v>1505832225</v>
      </c>
      <c r="D40" s="4">
        <v>1610237820</v>
      </c>
      <c r="E40" s="4">
        <v>1791315000</v>
      </c>
      <c r="F40" s="4">
        <v>1868085000</v>
      </c>
      <c r="G40" s="4">
        <v>1923030000</v>
      </c>
      <c r="H40" s="4">
        <v>2163180000</v>
      </c>
      <c r="I40" s="4">
        <v>2490000000</v>
      </c>
      <c r="J40" s="4">
        <v>2559000000</v>
      </c>
      <c r="K40" s="4">
        <v>2661000000</v>
      </c>
      <c r="L40" s="4">
        <v>2799000000</v>
      </c>
      <c r="M40" s="4">
        <v>2958000000</v>
      </c>
      <c r="N40" s="4">
        <v>3130000000</v>
      </c>
      <c r="O40" s="5">
        <v>3160750000</v>
      </c>
      <c r="P40" s="4">
        <v>3146000000</v>
      </c>
      <c r="Q40" s="4">
        <v>3160000000</v>
      </c>
      <c r="R40" s="4">
        <v>3166000000</v>
      </c>
      <c r="S40" s="4">
        <v>3171000000</v>
      </c>
    </row>
    <row r="41" spans="1:19" ht="16" x14ac:dyDescent="0.2">
      <c r="A41" s="3" t="s">
        <v>49</v>
      </c>
      <c r="B41" s="6">
        <v>-0.2</v>
      </c>
      <c r="C41" s="6">
        <v>-0.17</v>
      </c>
      <c r="D41" s="6">
        <v>-0.25</v>
      </c>
      <c r="E41" s="6">
        <v>-0.04</v>
      </c>
      <c r="F41" s="6">
        <v>-0.16</v>
      </c>
      <c r="G41" s="6">
        <v>-0.46</v>
      </c>
      <c r="H41" s="6">
        <v>-0.31</v>
      </c>
      <c r="I41" s="6">
        <v>-0.79</v>
      </c>
      <c r="J41" s="6">
        <v>-0.38</v>
      </c>
      <c r="K41" s="6">
        <v>-0.32</v>
      </c>
      <c r="L41" s="6">
        <v>0.25</v>
      </c>
      <c r="M41" s="6">
        <v>1.87</v>
      </c>
      <c r="N41" s="6">
        <v>4.0199999999999996</v>
      </c>
      <c r="O41" s="7">
        <v>3.86</v>
      </c>
      <c r="P41" s="6">
        <v>1.05</v>
      </c>
      <c r="Q41" s="6">
        <v>1.17</v>
      </c>
      <c r="R41" s="6">
        <v>0.79</v>
      </c>
      <c r="S41" s="6">
        <v>0.85</v>
      </c>
    </row>
    <row r="42" spans="1:19" ht="16" x14ac:dyDescent="0.2">
      <c r="A42" s="3" t="s">
        <v>50</v>
      </c>
      <c r="B42" s="6">
        <v>-0.2</v>
      </c>
      <c r="C42" s="6">
        <v>-0.17</v>
      </c>
      <c r="D42" s="6">
        <v>-0.25</v>
      </c>
      <c r="E42" s="6">
        <v>-0.04</v>
      </c>
      <c r="F42" s="6">
        <v>-0.16</v>
      </c>
      <c r="G42" s="6">
        <v>-0.46</v>
      </c>
      <c r="H42" s="6">
        <v>-0.36</v>
      </c>
      <c r="I42" s="6">
        <v>-0.9</v>
      </c>
      <c r="J42" s="6">
        <v>-0.42</v>
      </c>
      <c r="K42" s="6">
        <v>-0.28999999999999998</v>
      </c>
      <c r="L42" s="6">
        <v>0.31</v>
      </c>
      <c r="M42" s="6">
        <v>1.91</v>
      </c>
      <c r="N42" s="6">
        <v>4.0199999999999996</v>
      </c>
      <c r="O42" s="7">
        <v>3.86</v>
      </c>
      <c r="P42" s="6">
        <v>1.06</v>
      </c>
      <c r="Q42" s="6">
        <v>1.17</v>
      </c>
      <c r="R42" s="6">
        <v>0.8</v>
      </c>
      <c r="S42" s="6">
        <v>0.82</v>
      </c>
    </row>
    <row r="43" spans="1:19" ht="16" x14ac:dyDescent="0.2">
      <c r="A43" s="3" t="s">
        <v>51</v>
      </c>
      <c r="B43" s="4">
        <v>760774530</v>
      </c>
      <c r="C43" s="4">
        <v>1505832225</v>
      </c>
      <c r="D43" s="4">
        <v>1610237820</v>
      </c>
      <c r="E43" s="4">
        <v>1791315000</v>
      </c>
      <c r="F43" s="4">
        <v>1868085000</v>
      </c>
      <c r="G43" s="4">
        <v>1923030000</v>
      </c>
      <c r="H43" s="4">
        <v>2163180000</v>
      </c>
      <c r="I43" s="4">
        <v>2490000000</v>
      </c>
      <c r="J43" s="4">
        <v>2559000000</v>
      </c>
      <c r="K43" s="4">
        <v>2661000000</v>
      </c>
      <c r="L43" s="4">
        <v>3249000000</v>
      </c>
      <c r="M43" s="4">
        <v>3387000000</v>
      </c>
      <c r="N43" s="4">
        <v>3475000000</v>
      </c>
      <c r="O43" s="5">
        <v>3471250000</v>
      </c>
      <c r="P43" s="4">
        <v>3468000000</v>
      </c>
      <c r="Q43" s="4">
        <v>3471000000</v>
      </c>
      <c r="R43" s="4">
        <v>3468000000</v>
      </c>
      <c r="S43" s="4">
        <v>3478000000</v>
      </c>
    </row>
    <row r="44" spans="1:19" ht="16" x14ac:dyDescent="0.2">
      <c r="A44" s="3" t="s">
        <v>52</v>
      </c>
      <c r="B44" s="6">
        <v>-0.2</v>
      </c>
      <c r="C44" s="6">
        <v>-0.17</v>
      </c>
      <c r="D44" s="6">
        <v>-0.25</v>
      </c>
      <c r="E44" s="6">
        <v>-0.04</v>
      </c>
      <c r="F44" s="6">
        <v>-0.16</v>
      </c>
      <c r="G44" s="6">
        <v>-0.46</v>
      </c>
      <c r="H44" s="6">
        <v>-0.31</v>
      </c>
      <c r="I44" s="6">
        <v>-0.79</v>
      </c>
      <c r="J44" s="6">
        <v>-0.38</v>
      </c>
      <c r="K44" s="6">
        <v>-0.32</v>
      </c>
      <c r="L44" s="6">
        <v>0.21</v>
      </c>
      <c r="M44" s="6">
        <v>1.63</v>
      </c>
      <c r="N44" s="6">
        <v>3.62</v>
      </c>
      <c r="O44" s="7">
        <v>3.51</v>
      </c>
      <c r="P44" s="6">
        <v>0.95</v>
      </c>
      <c r="Q44" s="6">
        <v>1.06</v>
      </c>
      <c r="R44" s="6">
        <v>0.72</v>
      </c>
      <c r="S44" s="6">
        <v>0.78</v>
      </c>
    </row>
    <row r="45" spans="1:19" ht="16" x14ac:dyDescent="0.2">
      <c r="A45" s="3" t="s">
        <v>53</v>
      </c>
      <c r="B45" s="6">
        <v>-0.2</v>
      </c>
      <c r="C45" s="6">
        <v>-0.17</v>
      </c>
      <c r="D45" s="6">
        <v>-0.25</v>
      </c>
      <c r="E45" s="6">
        <v>-0.04</v>
      </c>
      <c r="F45" s="6">
        <v>-0.16</v>
      </c>
      <c r="G45" s="6">
        <v>-0.46</v>
      </c>
      <c r="H45" s="6">
        <v>-0.36</v>
      </c>
      <c r="I45" s="6">
        <v>-0.9</v>
      </c>
      <c r="J45" s="6">
        <v>-0.42</v>
      </c>
      <c r="K45" s="6">
        <v>-0.28999999999999998</v>
      </c>
      <c r="L45" s="6">
        <v>0.27</v>
      </c>
      <c r="M45" s="6">
        <v>1.67</v>
      </c>
      <c r="N45" s="6">
        <v>3.62</v>
      </c>
      <c r="O45" s="7">
        <v>3.51</v>
      </c>
      <c r="P45" s="6">
        <v>0.96</v>
      </c>
      <c r="Q45" s="6">
        <v>1.07</v>
      </c>
      <c r="R45" s="6">
        <v>0.73</v>
      </c>
      <c r="S45" s="6">
        <v>0.75</v>
      </c>
    </row>
    <row r="46" spans="1:19" ht="16" x14ac:dyDescent="0.2">
      <c r="A46" s="3" t="s">
        <v>54</v>
      </c>
      <c r="B46" s="4">
        <v>-136215000</v>
      </c>
      <c r="C46" s="4">
        <v>-234569000</v>
      </c>
      <c r="D46" s="4">
        <v>-365458000</v>
      </c>
      <c r="E46" s="4">
        <v>44800000</v>
      </c>
      <c r="F46" s="4">
        <v>45242000</v>
      </c>
      <c r="G46" s="4">
        <v>-294039000</v>
      </c>
      <c r="H46" s="4">
        <v>279759000</v>
      </c>
      <c r="I46" s="4">
        <v>3917000</v>
      </c>
      <c r="J46" s="4">
        <v>1648210000</v>
      </c>
      <c r="K46" s="4">
        <v>2234000000</v>
      </c>
      <c r="L46" s="4">
        <v>4316000000</v>
      </c>
      <c r="M46" s="4">
        <v>9407000000</v>
      </c>
      <c r="N46" s="4">
        <v>17579000000</v>
      </c>
      <c r="O46" s="5">
        <v>16831000000</v>
      </c>
      <c r="P46" s="4">
        <v>4644000000</v>
      </c>
      <c r="Q46" s="4">
        <v>4924000000</v>
      </c>
      <c r="R46" s="4">
        <v>3710000000</v>
      </c>
      <c r="S46" s="4">
        <v>3553000000</v>
      </c>
    </row>
    <row r="47" spans="1:19" ht="16" x14ac:dyDescent="0.2">
      <c r="A47" s="3" t="s">
        <v>55</v>
      </c>
      <c r="B47" s="6">
        <v>-116.68</v>
      </c>
      <c r="C47" s="6">
        <v>-114.85</v>
      </c>
      <c r="D47" s="6">
        <v>-88.43</v>
      </c>
      <c r="E47" s="6">
        <v>2.2200000000000002</v>
      </c>
      <c r="F47" s="6">
        <v>1.41</v>
      </c>
      <c r="G47" s="6">
        <v>-7.27</v>
      </c>
      <c r="H47" s="4">
        <v>4</v>
      </c>
      <c r="I47" s="6">
        <v>0.03</v>
      </c>
      <c r="J47" s="6">
        <v>7.68</v>
      </c>
      <c r="K47" s="6">
        <v>9.09</v>
      </c>
      <c r="L47" s="6">
        <v>13.69</v>
      </c>
      <c r="M47" s="6">
        <v>17.48</v>
      </c>
      <c r="N47" s="6">
        <v>21.58</v>
      </c>
      <c r="O47" s="7">
        <v>17.899999999999999</v>
      </c>
      <c r="P47" s="6">
        <v>21.53</v>
      </c>
      <c r="Q47" s="6">
        <v>21.58</v>
      </c>
      <c r="R47" s="6">
        <v>19.53</v>
      </c>
      <c r="S47" s="6">
        <v>17.899999999999999</v>
      </c>
    </row>
    <row r="48" spans="1:19" ht="16" x14ac:dyDescent="0.2">
      <c r="A48" s="3" t="s">
        <v>56</v>
      </c>
      <c r="B48" s="4">
        <v>-146838000</v>
      </c>
      <c r="C48" s="4">
        <v>-251488000</v>
      </c>
      <c r="D48" s="4">
        <v>-394283000</v>
      </c>
      <c r="E48" s="4">
        <v>-61283000</v>
      </c>
      <c r="F48" s="4">
        <v>-186689000</v>
      </c>
      <c r="G48" s="4">
        <v>-716629000</v>
      </c>
      <c r="H48" s="4">
        <v>-667340000</v>
      </c>
      <c r="I48" s="4">
        <v>-1632086000</v>
      </c>
      <c r="J48" s="4">
        <v>-252840000</v>
      </c>
      <c r="K48" s="4">
        <v>80000000</v>
      </c>
      <c r="L48" s="4">
        <v>1994000000</v>
      </c>
      <c r="M48" s="4">
        <v>6496000000</v>
      </c>
      <c r="N48" s="4">
        <v>13832000000</v>
      </c>
      <c r="O48" s="5">
        <v>12686000000</v>
      </c>
      <c r="P48" s="4">
        <v>3688000000</v>
      </c>
      <c r="Q48" s="4">
        <v>3935000000</v>
      </c>
      <c r="R48" s="4">
        <v>2664000000</v>
      </c>
      <c r="S48" s="4">
        <v>2399000000</v>
      </c>
    </row>
    <row r="49" spans="1:19" ht="16" x14ac:dyDescent="0.2">
      <c r="A49" s="3" t="s">
        <v>57</v>
      </c>
      <c r="B49" s="4">
        <v>-146838000</v>
      </c>
      <c r="C49" s="4">
        <v>-251488000</v>
      </c>
      <c r="D49" s="4">
        <v>-394283000</v>
      </c>
      <c r="E49" s="4">
        <v>-61283000</v>
      </c>
      <c r="F49" s="4">
        <v>-186689000</v>
      </c>
      <c r="G49" s="4">
        <v>-716629000</v>
      </c>
      <c r="H49" s="4">
        <v>-667340000</v>
      </c>
      <c r="I49" s="4">
        <v>-1632086000</v>
      </c>
      <c r="J49" s="4">
        <v>-252840000</v>
      </c>
      <c r="K49" s="4">
        <v>80000000</v>
      </c>
      <c r="L49" s="4">
        <v>1994000000</v>
      </c>
      <c r="M49" s="4">
        <v>6496000000</v>
      </c>
      <c r="N49" s="4">
        <v>13832000000</v>
      </c>
      <c r="O49" s="5">
        <v>12686000000</v>
      </c>
      <c r="P49" s="4">
        <v>3688000000</v>
      </c>
      <c r="Q49" s="4">
        <v>3935000000</v>
      </c>
      <c r="R49" s="4">
        <v>2664000000</v>
      </c>
      <c r="S49" s="4">
        <v>2399000000</v>
      </c>
    </row>
    <row r="50" spans="1:19" ht="16" x14ac:dyDescent="0.2">
      <c r="A50" s="3" t="s">
        <v>61</v>
      </c>
      <c r="B50" s="4">
        <v>129860</v>
      </c>
      <c r="C50" s="4">
        <v>144137</v>
      </c>
      <c r="D50" s="4">
        <v>139425</v>
      </c>
      <c r="E50" s="4">
        <v>343659</v>
      </c>
      <c r="F50" s="4">
        <v>314768</v>
      </c>
      <c r="G50" s="4">
        <v>309850</v>
      </c>
      <c r="H50" s="4">
        <v>233143</v>
      </c>
      <c r="I50" s="4">
        <v>313208</v>
      </c>
      <c r="J50" s="4">
        <v>439627</v>
      </c>
      <c r="K50" s="4">
        <v>511871</v>
      </c>
      <c r="L50" s="4">
        <v>445694</v>
      </c>
      <c r="M50" s="4">
        <v>542079</v>
      </c>
      <c r="N50" s="4">
        <v>637144</v>
      </c>
      <c r="O50" s="5">
        <v>735427</v>
      </c>
      <c r="P50" s="4">
        <v>216074</v>
      </c>
      <c r="Q50" s="4">
        <v>190200</v>
      </c>
      <c r="R50" s="4">
        <v>182465</v>
      </c>
      <c r="S50" s="4">
        <v>194963</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10623000</v>
      </c>
      <c r="C52" s="4">
        <v>16919000</v>
      </c>
      <c r="D52" s="4">
        <v>28825000</v>
      </c>
      <c r="E52" s="4">
        <v>106083000</v>
      </c>
      <c r="F52" s="4">
        <v>231931000</v>
      </c>
      <c r="G52" s="4">
        <v>422590000</v>
      </c>
      <c r="H52" s="4">
        <v>947099000</v>
      </c>
      <c r="I52" s="4">
        <v>1636003000</v>
      </c>
      <c r="J52" s="4">
        <v>1901050000</v>
      </c>
      <c r="K52" s="4">
        <v>2154000000</v>
      </c>
      <c r="L52" s="4">
        <v>2322000000</v>
      </c>
      <c r="M52" s="4">
        <v>2911000000</v>
      </c>
      <c r="N52" s="4">
        <v>3747000000</v>
      </c>
      <c r="O52" s="5">
        <v>4145000000</v>
      </c>
      <c r="P52" s="4">
        <v>956000000</v>
      </c>
      <c r="Q52" s="4">
        <v>989000000</v>
      </c>
      <c r="R52" s="4">
        <v>1046000000</v>
      </c>
      <c r="S52" s="4">
        <v>1154000000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235886000</v>
      </c>
      <c r="C55" s="4">
        <v>372838000</v>
      </c>
      <c r="D55" s="4">
        <v>524768000</v>
      </c>
      <c r="E55" s="4">
        <v>1265939000</v>
      </c>
      <c r="F55" s="4">
        <v>3198657000</v>
      </c>
      <c r="G55" s="4">
        <v>2791568000</v>
      </c>
      <c r="H55" s="4">
        <v>6259796000</v>
      </c>
      <c r="I55" s="4">
        <v>6570520000</v>
      </c>
      <c r="J55" s="4">
        <v>8306308000</v>
      </c>
      <c r="K55" s="4">
        <v>12103000000</v>
      </c>
      <c r="L55" s="4">
        <v>26717000000</v>
      </c>
      <c r="M55" s="4">
        <v>27100000000</v>
      </c>
      <c r="N55" s="4">
        <v>40917000000</v>
      </c>
      <c r="O55" s="5">
        <v>43875000000</v>
      </c>
      <c r="P55" s="4">
        <v>35990000000</v>
      </c>
      <c r="Q55" s="4">
        <v>40917000000</v>
      </c>
      <c r="R55" s="4">
        <v>42997000000</v>
      </c>
      <c r="S55" s="4">
        <v>43875000000</v>
      </c>
    </row>
    <row r="56" spans="1:19" ht="16" x14ac:dyDescent="0.2">
      <c r="A56" s="3" t="s">
        <v>65</v>
      </c>
      <c r="B56" s="4">
        <v>99558000</v>
      </c>
      <c r="C56" s="4">
        <v>280327000</v>
      </c>
      <c r="D56" s="4">
        <v>201890000</v>
      </c>
      <c r="E56" s="4">
        <v>845889000</v>
      </c>
      <c r="F56" s="4">
        <v>1905713000</v>
      </c>
      <c r="G56" s="4">
        <v>1196908000</v>
      </c>
      <c r="H56" s="4">
        <v>3393216000</v>
      </c>
      <c r="I56" s="4">
        <v>3367914000</v>
      </c>
      <c r="J56" s="4">
        <v>3685618000</v>
      </c>
      <c r="K56" s="4">
        <v>6268000000</v>
      </c>
      <c r="L56" s="4">
        <v>19384000000</v>
      </c>
      <c r="M56" s="4">
        <v>17707000000</v>
      </c>
      <c r="N56" s="4">
        <v>28117000000</v>
      </c>
      <c r="O56" s="5">
        <v>30854000000</v>
      </c>
      <c r="P56" s="4">
        <v>21107000000</v>
      </c>
      <c r="Q56" s="4">
        <v>28117000000</v>
      </c>
      <c r="R56" s="4">
        <v>28756000000</v>
      </c>
      <c r="S56" s="4">
        <v>30854000000</v>
      </c>
    </row>
    <row r="57" spans="1:19" ht="16" x14ac:dyDescent="0.2">
      <c r="A57" s="3" t="s">
        <v>66</v>
      </c>
      <c r="B57" s="4">
        <v>99558000</v>
      </c>
      <c r="C57" s="4">
        <v>255266000</v>
      </c>
      <c r="D57" s="4">
        <v>201890000</v>
      </c>
      <c r="E57" s="4">
        <v>845889000</v>
      </c>
      <c r="F57" s="4">
        <v>1905713000</v>
      </c>
      <c r="G57" s="4">
        <v>1196908000</v>
      </c>
      <c r="H57" s="4">
        <v>3393216000</v>
      </c>
      <c r="I57" s="4">
        <v>3367914000</v>
      </c>
      <c r="J57" s="4">
        <v>3685618000</v>
      </c>
      <c r="K57" s="4">
        <v>6268000000</v>
      </c>
      <c r="L57" s="4">
        <v>19384000000</v>
      </c>
      <c r="M57" s="4">
        <v>17576000000</v>
      </c>
      <c r="N57" s="4">
        <v>22185000000</v>
      </c>
      <c r="O57" s="5">
        <v>23075000000</v>
      </c>
      <c r="P57" s="4">
        <v>19532000000</v>
      </c>
      <c r="Q57" s="4">
        <v>22185000000</v>
      </c>
      <c r="R57" s="4">
        <v>22402000000</v>
      </c>
      <c r="S57" s="4">
        <v>23075000000</v>
      </c>
    </row>
    <row r="58" spans="1:19" ht="16" x14ac:dyDescent="0.2">
      <c r="A58" s="3" t="s">
        <v>67</v>
      </c>
      <c r="B58" s="4" t="s">
        <v>24</v>
      </c>
      <c r="C58" s="4">
        <v>25061000</v>
      </c>
      <c r="D58" s="4" t="s">
        <v>24</v>
      </c>
      <c r="E58" s="4" t="s">
        <v>24</v>
      </c>
      <c r="F58" s="4" t="s">
        <v>24</v>
      </c>
      <c r="G58" s="4" t="s">
        <v>24</v>
      </c>
      <c r="H58" s="4" t="s">
        <v>24</v>
      </c>
      <c r="I58" s="4" t="s">
        <v>24</v>
      </c>
      <c r="J58" s="4" t="s">
        <v>24</v>
      </c>
      <c r="K58" s="4" t="s">
        <v>24</v>
      </c>
      <c r="L58" s="4" t="s">
        <v>24</v>
      </c>
      <c r="M58" s="4">
        <v>131000000</v>
      </c>
      <c r="N58" s="4">
        <v>5932000000</v>
      </c>
      <c r="O58" s="5">
        <v>7779000000</v>
      </c>
      <c r="P58" s="4">
        <v>1575000000</v>
      </c>
      <c r="Q58" s="4">
        <v>5932000000</v>
      </c>
      <c r="R58" s="4">
        <v>6354000000</v>
      </c>
      <c r="S58" s="4">
        <v>7779000000</v>
      </c>
    </row>
    <row r="59" spans="1:19" ht="16" x14ac:dyDescent="0.2">
      <c r="A59" s="3" t="s">
        <v>68</v>
      </c>
      <c r="B59" s="4">
        <v>6710000</v>
      </c>
      <c r="C59" s="4">
        <v>9539000</v>
      </c>
      <c r="D59" s="4">
        <v>26842000</v>
      </c>
      <c r="E59" s="4">
        <v>49109000</v>
      </c>
      <c r="F59" s="4">
        <v>226604000</v>
      </c>
      <c r="G59" s="4">
        <v>168965000</v>
      </c>
      <c r="H59" s="4">
        <v>499142000</v>
      </c>
      <c r="I59" s="4">
        <v>515381000</v>
      </c>
      <c r="J59" s="4">
        <v>949022000</v>
      </c>
      <c r="K59" s="4">
        <v>1324000000</v>
      </c>
      <c r="L59" s="4">
        <v>1886000000</v>
      </c>
      <c r="M59" s="4">
        <v>1913000000</v>
      </c>
      <c r="N59" s="4">
        <v>2952000000</v>
      </c>
      <c r="O59" s="5">
        <v>3447000000</v>
      </c>
      <c r="P59" s="4">
        <v>2192000000</v>
      </c>
      <c r="Q59" s="4">
        <v>2952000000</v>
      </c>
      <c r="R59" s="4">
        <v>2993000000</v>
      </c>
      <c r="S59" s="4">
        <v>3447000000</v>
      </c>
    </row>
    <row r="60" spans="1:19" ht="16" x14ac:dyDescent="0.2">
      <c r="A60" s="3" t="s">
        <v>69</v>
      </c>
      <c r="B60" s="4">
        <v>6710000</v>
      </c>
      <c r="C60" s="4">
        <v>9539000</v>
      </c>
      <c r="D60" s="4">
        <v>26842000</v>
      </c>
      <c r="E60" s="4">
        <v>49109000</v>
      </c>
      <c r="F60" s="4">
        <v>226604000</v>
      </c>
      <c r="G60" s="4">
        <v>168965000</v>
      </c>
      <c r="H60" s="4">
        <v>499142000</v>
      </c>
      <c r="I60" s="4">
        <v>515381000</v>
      </c>
      <c r="J60" s="4">
        <v>949022000</v>
      </c>
      <c r="K60" s="4">
        <v>1324000000</v>
      </c>
      <c r="L60" s="4">
        <v>1886000000</v>
      </c>
      <c r="M60" s="4">
        <v>1913000000</v>
      </c>
      <c r="N60" s="4">
        <v>2952000000</v>
      </c>
      <c r="O60" s="5">
        <v>3447000000</v>
      </c>
      <c r="P60" s="4">
        <v>2192000000</v>
      </c>
      <c r="Q60" s="4">
        <v>2952000000</v>
      </c>
      <c r="R60" s="4">
        <v>2993000000</v>
      </c>
      <c r="S60" s="4">
        <v>3447000000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45182000</v>
      </c>
      <c r="C64" s="4">
        <v>50082000</v>
      </c>
      <c r="D64" s="4">
        <v>268504000</v>
      </c>
      <c r="E64" s="4">
        <v>340355000</v>
      </c>
      <c r="F64" s="4">
        <v>953675000</v>
      </c>
      <c r="G64" s="4">
        <v>1277838000</v>
      </c>
      <c r="H64" s="4">
        <v>2067454000</v>
      </c>
      <c r="I64" s="4">
        <v>2263537000</v>
      </c>
      <c r="J64" s="4">
        <v>3113446000</v>
      </c>
      <c r="K64" s="4">
        <v>3552000000</v>
      </c>
      <c r="L64" s="4">
        <v>4101000000</v>
      </c>
      <c r="M64" s="4">
        <v>5757000000</v>
      </c>
      <c r="N64" s="4">
        <v>12839000000</v>
      </c>
      <c r="O64" s="5">
        <v>14356000000</v>
      </c>
      <c r="P64" s="4">
        <v>10327000000</v>
      </c>
      <c r="Q64" s="4">
        <v>12839000000</v>
      </c>
      <c r="R64" s="4">
        <v>14375000000</v>
      </c>
      <c r="S64" s="4">
        <v>14356000000</v>
      </c>
    </row>
    <row r="65" spans="1:19" ht="16" x14ac:dyDescent="0.2">
      <c r="A65" s="3" t="s">
        <v>74</v>
      </c>
      <c r="B65" s="4">
        <v>15936000</v>
      </c>
      <c r="C65" s="4">
        <v>20297000</v>
      </c>
      <c r="D65" s="4">
        <v>163637000</v>
      </c>
      <c r="E65" s="4">
        <v>184665000</v>
      </c>
      <c r="F65" s="4">
        <v>392292000</v>
      </c>
      <c r="G65" s="4">
        <v>528935000</v>
      </c>
      <c r="H65" s="4">
        <v>680339000</v>
      </c>
      <c r="I65" s="4">
        <v>821396000</v>
      </c>
      <c r="J65" s="4">
        <v>931828000</v>
      </c>
      <c r="K65" s="4">
        <v>1428000000</v>
      </c>
      <c r="L65" s="4">
        <v>1508000000</v>
      </c>
      <c r="M65" s="4">
        <v>2816000000</v>
      </c>
      <c r="N65" s="4">
        <v>6137000000</v>
      </c>
      <c r="O65" s="5">
        <v>5968000000</v>
      </c>
      <c r="P65" s="4">
        <v>5381000000</v>
      </c>
      <c r="Q65" s="4">
        <v>6137000000</v>
      </c>
      <c r="R65" s="4">
        <v>6405000000</v>
      </c>
      <c r="S65" s="4">
        <v>5968000000</v>
      </c>
    </row>
    <row r="66" spans="1:19" ht="16" x14ac:dyDescent="0.2">
      <c r="A66" s="3" t="s">
        <v>75</v>
      </c>
      <c r="B66" s="4">
        <v>4538000</v>
      </c>
      <c r="C66" s="4">
        <v>3665000</v>
      </c>
      <c r="D66" s="4">
        <v>24535000</v>
      </c>
      <c r="E66" s="4">
        <v>42500000</v>
      </c>
      <c r="F66" s="4">
        <v>56114000</v>
      </c>
      <c r="G66" s="4">
        <v>163830000</v>
      </c>
      <c r="H66" s="4">
        <v>233746000</v>
      </c>
      <c r="I66" s="4">
        <v>243181000</v>
      </c>
      <c r="J66" s="4">
        <v>296991000</v>
      </c>
      <c r="K66" s="4">
        <v>362000000</v>
      </c>
      <c r="L66" s="4">
        <v>493000000</v>
      </c>
      <c r="M66" s="4">
        <v>1089000000</v>
      </c>
      <c r="N66" s="4">
        <v>2385000000</v>
      </c>
      <c r="O66" s="5">
        <v>2202000000</v>
      </c>
      <c r="P66" s="4">
        <v>2237000000</v>
      </c>
      <c r="Q66" s="4">
        <v>2385000000</v>
      </c>
      <c r="R66" s="4">
        <v>2458000000</v>
      </c>
      <c r="S66" s="4">
        <v>2202000000</v>
      </c>
    </row>
    <row r="67" spans="1:19" ht="16" x14ac:dyDescent="0.2">
      <c r="A67" s="3" t="s">
        <v>76</v>
      </c>
      <c r="B67" s="4">
        <v>20125000</v>
      </c>
      <c r="C67" s="4">
        <v>26120000</v>
      </c>
      <c r="D67" s="4">
        <v>62559000</v>
      </c>
      <c r="E67" s="4">
        <v>69324000</v>
      </c>
      <c r="F67" s="4">
        <v>397318000</v>
      </c>
      <c r="G67" s="4">
        <v>476512000</v>
      </c>
      <c r="H67" s="4">
        <v>1016731000</v>
      </c>
      <c r="I67" s="4">
        <v>1013909000</v>
      </c>
      <c r="J67" s="4">
        <v>1581763000</v>
      </c>
      <c r="K67" s="4">
        <v>1356000000</v>
      </c>
      <c r="L67" s="4">
        <v>1666000000</v>
      </c>
      <c r="M67" s="4">
        <v>1277000000</v>
      </c>
      <c r="N67" s="4">
        <v>3475000000</v>
      </c>
      <c r="O67" s="5">
        <v>5193000000</v>
      </c>
      <c r="P67" s="4">
        <v>2067000000</v>
      </c>
      <c r="Q67" s="4">
        <v>3475000000</v>
      </c>
      <c r="R67" s="4">
        <v>4591000000</v>
      </c>
      <c r="S67" s="4">
        <v>5193000000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4583000</v>
      </c>
      <c r="C69" s="4" t="s">
        <v>24</v>
      </c>
      <c r="D69" s="4">
        <v>17773000</v>
      </c>
      <c r="E69" s="4">
        <v>43866000</v>
      </c>
      <c r="F69" s="4">
        <v>107951000</v>
      </c>
      <c r="G69" s="4">
        <v>108561000</v>
      </c>
      <c r="H69" s="4">
        <v>136638000</v>
      </c>
      <c r="I69" s="4">
        <v>185051000</v>
      </c>
      <c r="J69" s="4">
        <v>302864000</v>
      </c>
      <c r="K69" s="4">
        <v>406000000</v>
      </c>
      <c r="L69" s="4">
        <v>434000000</v>
      </c>
      <c r="M69" s="4">
        <v>575000000</v>
      </c>
      <c r="N69" s="4">
        <v>842000000</v>
      </c>
      <c r="O69" s="5">
        <v>993000000</v>
      </c>
      <c r="P69" s="4">
        <v>642000000</v>
      </c>
      <c r="Q69" s="4">
        <v>842000000</v>
      </c>
      <c r="R69" s="4">
        <v>921000000</v>
      </c>
      <c r="S69" s="4">
        <v>993000000</v>
      </c>
    </row>
    <row r="70" spans="1:19" ht="16" x14ac:dyDescent="0.2">
      <c r="A70" s="3" t="s">
        <v>79</v>
      </c>
      <c r="B70" s="4">
        <v>84436000</v>
      </c>
      <c r="C70" s="4">
        <v>32890000</v>
      </c>
      <c r="D70" s="4">
        <v>27532000</v>
      </c>
      <c r="E70" s="4">
        <v>30586000</v>
      </c>
      <c r="F70" s="4">
        <v>112665000</v>
      </c>
      <c r="G70" s="4">
        <v>147857000</v>
      </c>
      <c r="H70" s="4">
        <v>299984000</v>
      </c>
      <c r="I70" s="4">
        <v>423688000</v>
      </c>
      <c r="J70" s="4">
        <v>558222000</v>
      </c>
      <c r="K70" s="4">
        <v>959000000</v>
      </c>
      <c r="L70" s="4">
        <v>1346000000</v>
      </c>
      <c r="M70" s="4">
        <v>1723000000</v>
      </c>
      <c r="N70" s="4">
        <v>-2991000000</v>
      </c>
      <c r="O70" s="5">
        <v>-4782000000</v>
      </c>
      <c r="P70" s="4">
        <v>2364000000</v>
      </c>
      <c r="Q70" s="4">
        <v>-2991000000</v>
      </c>
      <c r="R70" s="4">
        <v>-3127000000</v>
      </c>
      <c r="S70" s="4">
        <v>-4782000000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150196000</v>
      </c>
      <c r="C76" s="4">
        <v>340610000</v>
      </c>
      <c r="D76" s="4">
        <v>589422000</v>
      </c>
      <c r="E76" s="4">
        <v>1150991000</v>
      </c>
      <c r="F76" s="4">
        <v>2650594000</v>
      </c>
      <c r="G76" s="4">
        <v>5300892000</v>
      </c>
      <c r="H76" s="4">
        <v>16404280000</v>
      </c>
      <c r="I76" s="4">
        <v>22084852000</v>
      </c>
      <c r="J76" s="4">
        <v>21433306000</v>
      </c>
      <c r="K76" s="4">
        <v>22206000000</v>
      </c>
      <c r="L76" s="4">
        <v>25431000000</v>
      </c>
      <c r="M76" s="4">
        <v>35031000000</v>
      </c>
      <c r="N76" s="4">
        <v>41421000000</v>
      </c>
      <c r="O76" s="5">
        <v>46716000000</v>
      </c>
      <c r="P76" s="4">
        <v>38436000000</v>
      </c>
      <c r="Q76" s="4">
        <v>41421000000</v>
      </c>
      <c r="R76" s="4">
        <v>43836000000</v>
      </c>
      <c r="S76" s="4">
        <v>46716000000</v>
      </c>
    </row>
    <row r="77" spans="1:19" ht="16" x14ac:dyDescent="0.2">
      <c r="A77" s="3" t="s">
        <v>86</v>
      </c>
      <c r="B77" s="4">
        <v>122599000</v>
      </c>
      <c r="C77" s="4">
        <v>310171000</v>
      </c>
      <c r="D77" s="4">
        <v>504757000</v>
      </c>
      <c r="E77" s="4">
        <v>980777000</v>
      </c>
      <c r="F77" s="4">
        <v>2303421000</v>
      </c>
      <c r="G77" s="4">
        <v>4623611000</v>
      </c>
      <c r="H77" s="4">
        <v>14019275000</v>
      </c>
      <c r="I77" s="4">
        <v>18547712000</v>
      </c>
      <c r="J77" s="4">
        <v>16496615000</v>
      </c>
      <c r="K77" s="4">
        <v>8473000000</v>
      </c>
      <c r="L77" s="4">
        <v>17303000000</v>
      </c>
      <c r="M77" s="4">
        <v>23258000000</v>
      </c>
      <c r="N77" s="4">
        <v>26176000000</v>
      </c>
      <c r="O77" s="5">
        <v>30559000000</v>
      </c>
      <c r="P77" s="4">
        <v>34563000000</v>
      </c>
      <c r="Q77" s="4">
        <v>26176000000</v>
      </c>
      <c r="R77" s="4">
        <v>28915000000</v>
      </c>
      <c r="S77" s="4">
        <v>30559000000</v>
      </c>
    </row>
    <row r="78" spans="1:19" ht="16" x14ac:dyDescent="0.2">
      <c r="A78" s="3" t="s">
        <v>87</v>
      </c>
      <c r="B78" s="4">
        <v>144592000</v>
      </c>
      <c r="C78" s="4">
        <v>342393000</v>
      </c>
      <c r="D78" s="4">
        <v>562300000</v>
      </c>
      <c r="E78" s="4">
        <v>1120919000</v>
      </c>
      <c r="F78" s="4">
        <v>2596011000</v>
      </c>
      <c r="G78" s="4">
        <v>5194737000</v>
      </c>
      <c r="H78" s="4">
        <v>15036917000</v>
      </c>
      <c r="I78" s="4">
        <v>20491616000</v>
      </c>
      <c r="J78" s="4">
        <v>19691231000</v>
      </c>
      <c r="K78" s="4">
        <v>20199000000</v>
      </c>
      <c r="L78" s="4">
        <v>23375000000</v>
      </c>
      <c r="M78" s="4">
        <v>31176000000</v>
      </c>
      <c r="N78" s="4">
        <v>36635000000</v>
      </c>
      <c r="O78" s="5">
        <v>41041000000</v>
      </c>
      <c r="P78" s="4">
        <v>42884000000</v>
      </c>
      <c r="Q78" s="4">
        <v>36635000000</v>
      </c>
      <c r="R78" s="4">
        <v>38669000000</v>
      </c>
      <c r="S78" s="4">
        <v>41041000000</v>
      </c>
    </row>
    <row r="79" spans="1:19" ht="16" x14ac:dyDescent="0.2">
      <c r="A79" s="3" t="s">
        <v>88</v>
      </c>
      <c r="B79" s="4">
        <v>21993000</v>
      </c>
      <c r="C79" s="4">
        <v>32222000</v>
      </c>
      <c r="D79" s="4">
        <v>57543000</v>
      </c>
      <c r="E79" s="4">
        <v>140142000</v>
      </c>
      <c r="F79" s="4">
        <v>292590000</v>
      </c>
      <c r="G79" s="4">
        <v>571126000</v>
      </c>
      <c r="H79" s="4">
        <v>1017642000</v>
      </c>
      <c r="I79" s="4">
        <v>1943904000</v>
      </c>
      <c r="J79" s="4">
        <v>3194616000</v>
      </c>
      <c r="K79" s="4">
        <v>11726000000</v>
      </c>
      <c r="L79" s="4">
        <v>6072000000</v>
      </c>
      <c r="M79" s="4">
        <v>7918000000</v>
      </c>
      <c r="N79" s="4">
        <v>10459000000</v>
      </c>
      <c r="O79" s="5">
        <v>10482000000</v>
      </c>
      <c r="P79" s="4">
        <v>8321000000</v>
      </c>
      <c r="Q79" s="4">
        <v>10459000000</v>
      </c>
      <c r="R79" s="4">
        <v>9754000000</v>
      </c>
      <c r="S79" s="4">
        <v>10482000000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27597000</v>
      </c>
      <c r="C83" s="4">
        <v>30439000</v>
      </c>
      <c r="D83" s="4">
        <v>84665000</v>
      </c>
      <c r="E83" s="4">
        <v>170214000</v>
      </c>
      <c r="F83" s="4">
        <v>347173000</v>
      </c>
      <c r="G83" s="4">
        <v>677281000</v>
      </c>
      <c r="H83" s="4">
        <v>2385005000</v>
      </c>
      <c r="I83" s="4">
        <v>3537140000</v>
      </c>
      <c r="J83" s="4">
        <v>4936691000</v>
      </c>
      <c r="K83" s="4">
        <v>13733000000</v>
      </c>
      <c r="L83" s="4">
        <v>8128000000</v>
      </c>
      <c r="M83" s="4">
        <v>11773000000</v>
      </c>
      <c r="N83" s="4">
        <v>15245000000</v>
      </c>
      <c r="O83" s="5">
        <v>16157000000</v>
      </c>
      <c r="P83" s="4">
        <v>3873000000</v>
      </c>
      <c r="Q83" s="4">
        <v>15245000000</v>
      </c>
      <c r="R83" s="4">
        <v>14921000000</v>
      </c>
      <c r="S83" s="4">
        <v>16157000000</v>
      </c>
    </row>
    <row r="84" spans="1:19" ht="16" x14ac:dyDescent="0.2">
      <c r="A84" s="3" t="s">
        <v>93</v>
      </c>
      <c r="B84" s="4" t="s">
        <v>24</v>
      </c>
      <c r="C84" s="4">
        <v>14508000</v>
      </c>
      <c r="D84" s="4">
        <v>14267000</v>
      </c>
      <c r="E84" s="4">
        <v>13930000</v>
      </c>
      <c r="F84" s="4" t="s">
        <v>24</v>
      </c>
      <c r="G84" s="4">
        <v>12816000</v>
      </c>
      <c r="H84" s="4">
        <v>376145000</v>
      </c>
      <c r="I84" s="4">
        <v>421739000</v>
      </c>
      <c r="J84" s="4">
        <v>350651000</v>
      </c>
      <c r="K84" s="4">
        <v>537000000</v>
      </c>
      <c r="L84" s="4">
        <v>520000000</v>
      </c>
      <c r="M84" s="4">
        <v>1717000000</v>
      </c>
      <c r="N84" s="4">
        <v>593000000</v>
      </c>
      <c r="O84" s="5">
        <v>649000000</v>
      </c>
      <c r="P84" s="4">
        <v>637000000</v>
      </c>
      <c r="Q84" s="4">
        <v>593000000</v>
      </c>
      <c r="R84" s="4">
        <v>583000000</v>
      </c>
      <c r="S84" s="4">
        <v>649000000</v>
      </c>
    </row>
    <row r="85" spans="1:19" ht="16" x14ac:dyDescent="0.2">
      <c r="A85" s="3" t="s">
        <v>94</v>
      </c>
      <c r="B85" s="4" t="s">
        <v>24</v>
      </c>
      <c r="C85" s="4" t="s">
        <v>24</v>
      </c>
      <c r="D85" s="4" t="s">
        <v>24</v>
      </c>
      <c r="E85" s="4" t="s">
        <v>24</v>
      </c>
      <c r="F85" s="4" t="s">
        <v>24</v>
      </c>
      <c r="G85" s="4" t="s">
        <v>24</v>
      </c>
      <c r="H85" s="4" t="s">
        <v>24</v>
      </c>
      <c r="I85" s="4">
        <v>60237000</v>
      </c>
      <c r="J85" s="4">
        <v>68159000</v>
      </c>
      <c r="K85" s="4">
        <v>198000000</v>
      </c>
      <c r="L85" s="4">
        <v>207000000</v>
      </c>
      <c r="M85" s="4">
        <v>200000000</v>
      </c>
      <c r="N85" s="4">
        <v>194000000</v>
      </c>
      <c r="O85" s="5">
        <v>263000000</v>
      </c>
      <c r="P85" s="4">
        <v>191000000</v>
      </c>
      <c r="Q85" s="4">
        <v>194000000</v>
      </c>
      <c r="R85" s="4">
        <v>195000000</v>
      </c>
      <c r="S85" s="4">
        <v>263000000</v>
      </c>
    </row>
    <row r="86" spans="1:19" ht="16" x14ac:dyDescent="0.2">
      <c r="A86" s="3" t="s">
        <v>95</v>
      </c>
      <c r="B86" s="4" t="s">
        <v>24</v>
      </c>
      <c r="C86" s="4">
        <v>14508000</v>
      </c>
      <c r="D86" s="4">
        <v>14267000</v>
      </c>
      <c r="E86" s="4">
        <v>13930000</v>
      </c>
      <c r="F86" s="4" t="s">
        <v>24</v>
      </c>
      <c r="G86" s="4">
        <v>12816000</v>
      </c>
      <c r="H86" s="4">
        <v>376145000</v>
      </c>
      <c r="I86" s="4">
        <v>361502000</v>
      </c>
      <c r="J86" s="4">
        <v>282492000</v>
      </c>
      <c r="K86" s="4">
        <v>339000000</v>
      </c>
      <c r="L86" s="4">
        <v>313000000</v>
      </c>
      <c r="M86" s="4">
        <v>1517000000</v>
      </c>
      <c r="N86" s="4">
        <v>399000000</v>
      </c>
      <c r="O86" s="5">
        <v>386000000</v>
      </c>
      <c r="P86" s="4">
        <v>446000000</v>
      </c>
      <c r="Q86" s="4">
        <v>399000000</v>
      </c>
      <c r="R86" s="4">
        <v>388000000</v>
      </c>
      <c r="S86" s="4">
        <v>386000000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27597000</v>
      </c>
      <c r="C89" s="4">
        <v>15931000</v>
      </c>
      <c r="D89" s="4">
        <v>70398000</v>
      </c>
      <c r="E89" s="4">
        <v>156284000</v>
      </c>
      <c r="F89" s="4">
        <v>347173000</v>
      </c>
      <c r="G89" s="4">
        <v>664465000</v>
      </c>
      <c r="H89" s="4">
        <v>2008860000</v>
      </c>
      <c r="I89" s="4">
        <v>3115401000</v>
      </c>
      <c r="J89" s="4">
        <v>4586040000</v>
      </c>
      <c r="K89" s="4">
        <v>13196000000</v>
      </c>
      <c r="L89" s="4">
        <v>7608000000</v>
      </c>
      <c r="M89" s="4">
        <v>10056000000</v>
      </c>
      <c r="N89" s="4">
        <v>14652000000</v>
      </c>
      <c r="O89" s="5">
        <v>15508000000</v>
      </c>
      <c r="P89" s="4">
        <v>3236000000</v>
      </c>
      <c r="Q89" s="4">
        <v>14652000000</v>
      </c>
      <c r="R89" s="4">
        <v>14338000000</v>
      </c>
      <c r="S89" s="4">
        <v>15508000000</v>
      </c>
    </row>
    <row r="90" spans="1:19" ht="16" x14ac:dyDescent="0.2">
      <c r="A90" s="3" t="s">
        <v>99</v>
      </c>
      <c r="B90" s="4">
        <v>386082000</v>
      </c>
      <c r="C90" s="4">
        <v>713448000</v>
      </c>
      <c r="D90" s="4">
        <v>1114190000</v>
      </c>
      <c r="E90" s="4">
        <v>2416930000</v>
      </c>
      <c r="F90" s="4">
        <v>5849251000</v>
      </c>
      <c r="G90" s="4">
        <v>8092460000</v>
      </c>
      <c r="H90" s="4">
        <v>22664076000</v>
      </c>
      <c r="I90" s="4">
        <v>28655372000</v>
      </c>
      <c r="J90" s="4">
        <v>29739614000</v>
      </c>
      <c r="K90" s="4">
        <v>34309000000</v>
      </c>
      <c r="L90" s="4">
        <v>52148000000</v>
      </c>
      <c r="M90" s="4">
        <v>62131000000</v>
      </c>
      <c r="N90" s="4">
        <v>82338000000</v>
      </c>
      <c r="O90" s="5">
        <v>90591000000</v>
      </c>
      <c r="P90" s="4">
        <v>74426000000</v>
      </c>
      <c r="Q90" s="4">
        <v>82338000000</v>
      </c>
      <c r="R90" s="4">
        <v>86833000000</v>
      </c>
      <c r="S90" s="4">
        <v>90591000000</v>
      </c>
    </row>
    <row r="91" spans="1:19" ht="16" x14ac:dyDescent="0.2">
      <c r="A91" s="3" t="s">
        <v>100</v>
      </c>
      <c r="B91" s="4">
        <v>43380000</v>
      </c>
      <c r="C91" s="4">
        <v>79345000</v>
      </c>
      <c r="D91" s="4">
        <v>343180000</v>
      </c>
      <c r="E91" s="4">
        <v>412221000</v>
      </c>
      <c r="F91" s="4">
        <v>1046830000</v>
      </c>
      <c r="G91" s="4">
        <v>1338945000</v>
      </c>
      <c r="H91" s="4">
        <v>3070369000</v>
      </c>
      <c r="I91" s="4">
        <v>4121616000</v>
      </c>
      <c r="J91" s="4">
        <v>5498704000</v>
      </c>
      <c r="K91" s="4">
        <v>6676000000</v>
      </c>
      <c r="L91" s="4">
        <v>9906000000</v>
      </c>
      <c r="M91" s="4">
        <v>15744000000</v>
      </c>
      <c r="N91" s="4">
        <v>22397000000</v>
      </c>
      <c r="O91" s="5">
        <v>22931000000</v>
      </c>
      <c r="P91" s="4">
        <v>19112000000</v>
      </c>
      <c r="Q91" s="4">
        <v>22397000000</v>
      </c>
      <c r="R91" s="4">
        <v>23225000000</v>
      </c>
      <c r="S91" s="4">
        <v>22931000000</v>
      </c>
    </row>
    <row r="92" spans="1:19" ht="16" x14ac:dyDescent="0.2">
      <c r="A92" s="3" t="s">
        <v>101</v>
      </c>
      <c r="B92" s="4">
        <v>28951000</v>
      </c>
      <c r="C92" s="4">
        <v>56141000</v>
      </c>
      <c r="D92" s="4">
        <v>343180000</v>
      </c>
      <c r="E92" s="4">
        <v>412221000</v>
      </c>
      <c r="F92" s="4">
        <v>1046830000</v>
      </c>
      <c r="G92" s="4">
        <v>1338945000</v>
      </c>
      <c r="H92" s="4">
        <v>1860341000</v>
      </c>
      <c r="I92" s="4">
        <v>2390250000</v>
      </c>
      <c r="J92" s="4">
        <v>3404451000</v>
      </c>
      <c r="K92" s="4">
        <v>3771000000</v>
      </c>
      <c r="L92" s="4">
        <v>6051000000</v>
      </c>
      <c r="M92" s="4">
        <v>10025000000</v>
      </c>
      <c r="N92" s="4">
        <v>15255000000</v>
      </c>
      <c r="O92" s="5">
        <v>15273000000</v>
      </c>
      <c r="P92" s="4">
        <v>13897000000</v>
      </c>
      <c r="Q92" s="4">
        <v>15255000000</v>
      </c>
      <c r="R92" s="4">
        <v>15904000000</v>
      </c>
      <c r="S92" s="4">
        <v>15273000000</v>
      </c>
    </row>
    <row r="93" spans="1:19" ht="16" x14ac:dyDescent="0.2">
      <c r="A93" s="3" t="s">
        <v>102</v>
      </c>
      <c r="B93" s="4">
        <v>2674000</v>
      </c>
      <c r="C93" s="4">
        <v>967000</v>
      </c>
      <c r="D93" s="4">
        <v>9710000</v>
      </c>
      <c r="E93" s="4">
        <v>38067000</v>
      </c>
      <c r="F93" s="4">
        <v>71229000</v>
      </c>
      <c r="G93" s="4">
        <v>101206000</v>
      </c>
      <c r="H93" s="4">
        <v>152897000</v>
      </c>
      <c r="I93" s="4">
        <v>185807000</v>
      </c>
      <c r="J93" s="4">
        <v>348663000</v>
      </c>
      <c r="K93" s="4">
        <v>611000000</v>
      </c>
      <c r="L93" s="4">
        <v>777000000</v>
      </c>
      <c r="M93" s="4">
        <v>1122000000</v>
      </c>
      <c r="N93" s="4">
        <v>1235000000</v>
      </c>
      <c r="O93" s="5">
        <v>1244000000</v>
      </c>
      <c r="P93" s="4">
        <v>1114000000</v>
      </c>
      <c r="Q93" s="4">
        <v>1235000000</v>
      </c>
      <c r="R93" s="4">
        <v>1371000000</v>
      </c>
      <c r="S93" s="4">
        <v>1244000000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11755000</v>
      </c>
      <c r="C95" s="4">
        <v>22237000</v>
      </c>
      <c r="D95" s="4">
        <v>-9710000</v>
      </c>
      <c r="E95" s="4">
        <v>-38067000</v>
      </c>
      <c r="F95" s="4">
        <v>-71229000</v>
      </c>
      <c r="G95" s="4">
        <v>-101206000</v>
      </c>
      <c r="H95" s="4">
        <v>1057131000</v>
      </c>
      <c r="I95" s="4">
        <v>1545559000</v>
      </c>
      <c r="J95" s="4">
        <v>1745590000</v>
      </c>
      <c r="K95" s="4">
        <v>2294000000</v>
      </c>
      <c r="L95" s="4">
        <v>3078000000</v>
      </c>
      <c r="M95" s="4">
        <v>4597000000</v>
      </c>
      <c r="N95" s="4">
        <v>5907000000</v>
      </c>
      <c r="O95" s="5">
        <v>6414000000</v>
      </c>
      <c r="P95" s="4">
        <v>4101000000</v>
      </c>
      <c r="Q95" s="4">
        <v>5907000000</v>
      </c>
      <c r="R95" s="4">
        <v>5950000000</v>
      </c>
      <c r="S95" s="4">
        <v>6414000000</v>
      </c>
    </row>
    <row r="96" spans="1:19" ht="16" x14ac:dyDescent="0.2">
      <c r="A96" s="3" t="s">
        <v>105</v>
      </c>
      <c r="B96" s="4">
        <v>279000</v>
      </c>
      <c r="C96" s="4">
        <v>8983000</v>
      </c>
      <c r="D96" s="4">
        <v>55206000</v>
      </c>
      <c r="E96" s="4">
        <v>7904000</v>
      </c>
      <c r="F96" s="4">
        <v>632128000</v>
      </c>
      <c r="G96" s="4">
        <v>633166000</v>
      </c>
      <c r="H96" s="4">
        <v>1150147000</v>
      </c>
      <c r="I96" s="4">
        <v>858026000</v>
      </c>
      <c r="J96" s="4">
        <v>2567699000</v>
      </c>
      <c r="K96" s="4">
        <v>1785000000</v>
      </c>
      <c r="L96" s="4">
        <v>2132000000</v>
      </c>
      <c r="M96" s="4">
        <v>1589000000</v>
      </c>
      <c r="N96" s="4">
        <v>1502000000</v>
      </c>
      <c r="O96" s="5">
        <v>1459000000</v>
      </c>
      <c r="P96" s="4">
        <v>1883000000</v>
      </c>
      <c r="Q96" s="4">
        <v>1502000000</v>
      </c>
      <c r="R96" s="4">
        <v>1404000000</v>
      </c>
      <c r="S96" s="4">
        <v>1459000000</v>
      </c>
    </row>
    <row r="97" spans="1:19" ht="16" x14ac:dyDescent="0.2">
      <c r="A97" s="3" t="s">
        <v>106</v>
      </c>
      <c r="B97" s="4" t="s">
        <v>24</v>
      </c>
      <c r="C97" s="4">
        <v>7916000</v>
      </c>
      <c r="D97" s="4">
        <v>50841000</v>
      </c>
      <c r="E97" s="4">
        <v>182000</v>
      </c>
      <c r="F97" s="4">
        <v>601566000</v>
      </c>
      <c r="G97" s="4">
        <v>633166000</v>
      </c>
      <c r="H97" s="4">
        <v>1150147000</v>
      </c>
      <c r="I97" s="4">
        <v>858026000</v>
      </c>
      <c r="J97" s="4">
        <v>2567699000</v>
      </c>
      <c r="K97" s="4">
        <v>1785000000</v>
      </c>
      <c r="L97" s="4">
        <v>2132000000</v>
      </c>
      <c r="M97" s="4">
        <v>1589000000</v>
      </c>
      <c r="N97" s="4">
        <v>1502000000</v>
      </c>
      <c r="O97" s="5">
        <v>1459000000</v>
      </c>
      <c r="P97" s="4">
        <v>979000000</v>
      </c>
      <c r="Q97" s="4">
        <v>1502000000</v>
      </c>
      <c r="R97" s="4">
        <v>1404000000</v>
      </c>
      <c r="S97" s="4">
        <v>1459000000</v>
      </c>
    </row>
    <row r="98" spans="1:19" ht="16" x14ac:dyDescent="0.2">
      <c r="A98" s="3" t="s">
        <v>107</v>
      </c>
      <c r="B98" s="4">
        <v>279000</v>
      </c>
      <c r="C98" s="4">
        <v>1067000</v>
      </c>
      <c r="D98" s="4">
        <v>4365000</v>
      </c>
      <c r="E98" s="4">
        <v>7722000</v>
      </c>
      <c r="F98" s="4">
        <v>30562000</v>
      </c>
      <c r="G98" s="4" t="s">
        <v>24</v>
      </c>
      <c r="H98" s="4">
        <v>52031000</v>
      </c>
      <c r="I98" s="4">
        <v>67313000</v>
      </c>
      <c r="J98" s="4">
        <v>489214000</v>
      </c>
      <c r="K98" s="4">
        <v>671000000</v>
      </c>
      <c r="L98" s="4">
        <v>660000000</v>
      </c>
      <c r="M98" s="4">
        <v>869000000</v>
      </c>
      <c r="N98" s="4">
        <v>971000000</v>
      </c>
      <c r="O98" s="5">
        <v>993000000</v>
      </c>
      <c r="P98" s="4">
        <v>904000000</v>
      </c>
      <c r="Q98" s="4">
        <v>971000000</v>
      </c>
      <c r="R98" s="4">
        <v>978000000</v>
      </c>
      <c r="S98" s="4">
        <v>993000000</v>
      </c>
    </row>
    <row r="99" spans="1:19" ht="16" x14ac:dyDescent="0.2">
      <c r="A99" s="3" t="s">
        <v>108</v>
      </c>
      <c r="B99" s="4">
        <v>41906000</v>
      </c>
      <c r="C99" s="4">
        <v>103011000</v>
      </c>
      <c r="D99" s="4">
        <v>-55206000</v>
      </c>
      <c r="E99" s="4">
        <v>155249000</v>
      </c>
      <c r="F99" s="4">
        <v>-374541000</v>
      </c>
      <c r="G99" s="4">
        <v>-349796000</v>
      </c>
      <c r="H99" s="4">
        <v>1606489000</v>
      </c>
      <c r="I99" s="4">
        <v>2656505000</v>
      </c>
      <c r="J99" s="4">
        <v>1925733000</v>
      </c>
      <c r="K99" s="4">
        <v>2206000000</v>
      </c>
      <c r="L99" s="4">
        <v>2210000000</v>
      </c>
      <c r="M99" s="4">
        <v>2372000000</v>
      </c>
      <c r="N99" s="4">
        <v>2810000000</v>
      </c>
      <c r="O99" s="5">
        <v>3202000000</v>
      </c>
      <c r="P99" s="4">
        <v>3616000000</v>
      </c>
      <c r="Q99" s="4">
        <v>2810000000</v>
      </c>
      <c r="R99" s="4">
        <v>2807000000</v>
      </c>
      <c r="S99" s="4">
        <v>3202000000</v>
      </c>
    </row>
    <row r="100" spans="1:19" ht="16" x14ac:dyDescent="0.2">
      <c r="A100" s="3" t="s">
        <v>109</v>
      </c>
      <c r="B100" s="4">
        <v>4635000</v>
      </c>
      <c r="C100" s="4">
        <v>2345000</v>
      </c>
      <c r="D100" s="4">
        <v>140722000</v>
      </c>
      <c r="E100" s="4">
        <v>163153000</v>
      </c>
      <c r="F100" s="4">
        <v>257587000</v>
      </c>
      <c r="G100" s="4">
        <v>283370000</v>
      </c>
      <c r="H100" s="4">
        <v>1426985000</v>
      </c>
      <c r="I100" s="4">
        <v>1869172000</v>
      </c>
      <c r="J100" s="4">
        <v>1422893000</v>
      </c>
      <c r="K100" s="4">
        <v>1889000000</v>
      </c>
      <c r="L100" s="4">
        <v>2210000000</v>
      </c>
      <c r="M100" s="4">
        <v>2372000000</v>
      </c>
      <c r="N100" s="4">
        <v>2810000000</v>
      </c>
      <c r="O100" s="5">
        <v>3202000000</v>
      </c>
      <c r="P100" s="4">
        <v>3011000000</v>
      </c>
      <c r="Q100" s="4">
        <v>2810000000</v>
      </c>
      <c r="R100" s="4">
        <v>2807000000</v>
      </c>
      <c r="S100" s="4">
        <v>3202000000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37271000</v>
      </c>
      <c r="C103" s="4">
        <v>100666000</v>
      </c>
      <c r="D103" s="4">
        <v>-195928000</v>
      </c>
      <c r="E103" s="4">
        <v>-7904000</v>
      </c>
      <c r="F103" s="4">
        <v>-632128000</v>
      </c>
      <c r="G103" s="4">
        <v>-633166000</v>
      </c>
      <c r="H103" s="4">
        <v>179504000</v>
      </c>
      <c r="I103" s="4">
        <v>787333000</v>
      </c>
      <c r="J103" s="4">
        <v>502840000</v>
      </c>
      <c r="K103" s="4">
        <v>317000000</v>
      </c>
      <c r="L103" s="4" t="s">
        <v>24</v>
      </c>
      <c r="M103" s="4" t="s">
        <v>24</v>
      </c>
      <c r="N103" s="4" t="s">
        <v>24</v>
      </c>
      <c r="O103" s="5" t="s">
        <v>24</v>
      </c>
      <c r="P103" s="4">
        <v>605000000</v>
      </c>
      <c r="Q103" s="4" t="s">
        <v>24</v>
      </c>
      <c r="R103" s="4" t="s">
        <v>24</v>
      </c>
      <c r="S103" s="4" t="s">
        <v>24</v>
      </c>
    </row>
    <row r="104" spans="1:19" ht="16" x14ac:dyDescent="0.2">
      <c r="A104" s="3" t="s">
        <v>113</v>
      </c>
      <c r="B104" s="4">
        <v>85565000</v>
      </c>
      <c r="C104" s="4">
        <v>191339000</v>
      </c>
      <c r="D104" s="4">
        <v>343180000</v>
      </c>
      <c r="E104" s="4">
        <v>575374000</v>
      </c>
      <c r="F104" s="4">
        <v>1304417000</v>
      </c>
      <c r="G104" s="4">
        <v>1622315000</v>
      </c>
      <c r="H104" s="4">
        <v>5827005000</v>
      </c>
      <c r="I104" s="4">
        <v>7636147000</v>
      </c>
      <c r="J104" s="4">
        <v>9992136000</v>
      </c>
      <c r="K104" s="4">
        <v>10667000000</v>
      </c>
      <c r="L104" s="4">
        <v>14248000000</v>
      </c>
      <c r="M104" s="4">
        <v>19705000000</v>
      </c>
      <c r="N104" s="4">
        <v>26709000000</v>
      </c>
      <c r="O104" s="5">
        <v>27592000000</v>
      </c>
      <c r="P104" s="4">
        <v>24611000000</v>
      </c>
      <c r="Q104" s="4">
        <v>26709000000</v>
      </c>
      <c r="R104" s="4">
        <v>27436000000</v>
      </c>
      <c r="S104" s="4">
        <v>27592000000</v>
      </c>
    </row>
    <row r="105" spans="1:19" ht="16" x14ac:dyDescent="0.2">
      <c r="A105" s="3" t="s">
        <v>114</v>
      </c>
      <c r="B105" s="4">
        <v>72324000</v>
      </c>
      <c r="C105" s="4">
        <v>271165000</v>
      </c>
      <c r="D105" s="4">
        <v>466667000</v>
      </c>
      <c r="E105" s="4">
        <v>606878000</v>
      </c>
      <c r="F105" s="4">
        <v>2488079000</v>
      </c>
      <c r="G105" s="4">
        <v>2715585000</v>
      </c>
      <c r="H105" s="4">
        <v>5978284000</v>
      </c>
      <c r="I105" s="4">
        <v>9456912000</v>
      </c>
      <c r="J105" s="4">
        <v>9403672000</v>
      </c>
      <c r="K105" s="4">
        <v>11634000000</v>
      </c>
      <c r="L105" s="4">
        <v>9607000000</v>
      </c>
      <c r="M105" s="4">
        <v>5245000000</v>
      </c>
      <c r="N105" s="4">
        <v>1597000000</v>
      </c>
      <c r="O105" s="5">
        <v>872000000</v>
      </c>
      <c r="P105" s="4">
        <v>3991000000</v>
      </c>
      <c r="Q105" s="4">
        <v>1597000000</v>
      </c>
      <c r="R105" s="4">
        <v>1272000000</v>
      </c>
      <c r="S105" s="4">
        <v>872000000</v>
      </c>
    </row>
    <row r="106" spans="1:19" ht="16" x14ac:dyDescent="0.2">
      <c r="A106" s="3" t="s">
        <v>115</v>
      </c>
      <c r="B106" s="4">
        <v>71828000</v>
      </c>
      <c r="C106" s="4">
        <v>268335000</v>
      </c>
      <c r="D106" s="4">
        <v>452337000</v>
      </c>
      <c r="E106" s="4">
        <v>586301000</v>
      </c>
      <c r="F106" s="4">
        <v>2466280000</v>
      </c>
      <c r="G106" s="4">
        <v>2682914000</v>
      </c>
      <c r="H106" s="4">
        <v>5978284000</v>
      </c>
      <c r="I106" s="4">
        <v>9456912000</v>
      </c>
      <c r="J106" s="4">
        <v>9403672000</v>
      </c>
      <c r="K106" s="4">
        <v>11634000000</v>
      </c>
      <c r="L106" s="4">
        <v>9607000000</v>
      </c>
      <c r="M106" s="4">
        <v>5245000000</v>
      </c>
      <c r="N106" s="4">
        <v>1597000000</v>
      </c>
      <c r="O106" s="5">
        <v>872000000</v>
      </c>
      <c r="P106" s="4">
        <v>1418000000</v>
      </c>
      <c r="Q106" s="4">
        <v>1597000000</v>
      </c>
      <c r="R106" s="4">
        <v>1272000000</v>
      </c>
      <c r="S106" s="4">
        <v>872000000</v>
      </c>
    </row>
    <row r="107" spans="1:19" ht="16" x14ac:dyDescent="0.2">
      <c r="A107" s="3" t="s">
        <v>116</v>
      </c>
      <c r="B107" s="4">
        <v>496000</v>
      </c>
      <c r="C107" s="4">
        <v>2830000</v>
      </c>
      <c r="D107" s="4">
        <v>14330000</v>
      </c>
      <c r="E107" s="4">
        <v>20577000</v>
      </c>
      <c r="F107" s="4">
        <v>21799000</v>
      </c>
      <c r="G107" s="4">
        <v>32671000</v>
      </c>
      <c r="H107" s="4">
        <v>1407653000</v>
      </c>
      <c r="I107" s="4">
        <v>1733697000</v>
      </c>
      <c r="J107" s="4">
        <v>2705582000</v>
      </c>
      <c r="K107" s="4">
        <v>2225000000</v>
      </c>
      <c r="L107" s="4">
        <v>2348000000</v>
      </c>
      <c r="M107" s="4">
        <v>2662000000</v>
      </c>
      <c r="N107" s="4">
        <v>2732000000</v>
      </c>
      <c r="O107" s="5">
        <v>3299000000</v>
      </c>
      <c r="P107" s="4">
        <v>2573000000</v>
      </c>
      <c r="Q107" s="4">
        <v>2732000000</v>
      </c>
      <c r="R107" s="4">
        <v>2844000000</v>
      </c>
      <c r="S107" s="4">
        <v>3299000000</v>
      </c>
    </row>
    <row r="108" spans="1:19" ht="16" x14ac:dyDescent="0.2">
      <c r="A108" s="3" t="s">
        <v>117</v>
      </c>
      <c r="B108" s="4">
        <v>21145000</v>
      </c>
      <c r="C108" s="4">
        <v>26899000</v>
      </c>
      <c r="D108" s="4">
        <v>179643000</v>
      </c>
      <c r="E108" s="4">
        <v>567557000</v>
      </c>
      <c r="F108" s="4">
        <v>1145045000</v>
      </c>
      <c r="G108" s="4">
        <v>2665616000</v>
      </c>
      <c r="H108" s="4">
        <v>4953662000</v>
      </c>
      <c r="I108" s="4">
        <v>5929991000</v>
      </c>
      <c r="J108" s="4">
        <v>4030202000</v>
      </c>
      <c r="K108" s="4">
        <v>3898000000</v>
      </c>
      <c r="L108" s="4">
        <v>4614000000</v>
      </c>
      <c r="M108" s="4">
        <v>5598000000</v>
      </c>
      <c r="N108" s="4">
        <v>8134000000</v>
      </c>
      <c r="O108" s="5">
        <v>9945000000</v>
      </c>
      <c r="P108" s="4">
        <v>4700000000</v>
      </c>
      <c r="Q108" s="4">
        <v>8134000000</v>
      </c>
      <c r="R108" s="4">
        <v>8890000000</v>
      </c>
      <c r="S108" s="4">
        <v>9945000000</v>
      </c>
    </row>
    <row r="109" spans="1:19" ht="16" x14ac:dyDescent="0.2">
      <c r="A109" s="3" t="s">
        <v>118</v>
      </c>
      <c r="B109" s="4">
        <v>5702000</v>
      </c>
      <c r="C109" s="4">
        <v>6985000</v>
      </c>
      <c r="D109" s="4">
        <v>143781000</v>
      </c>
      <c r="E109" s="4">
        <v>273062000</v>
      </c>
      <c r="F109" s="4">
        <v>483922000</v>
      </c>
      <c r="G109" s="4">
        <v>1006896000</v>
      </c>
      <c r="H109" s="4">
        <v>851790000</v>
      </c>
      <c r="I109" s="4">
        <v>1177799000</v>
      </c>
      <c r="J109" s="4">
        <v>990873000</v>
      </c>
      <c r="K109" s="4">
        <v>1207000000</v>
      </c>
      <c r="L109" s="4">
        <v>1284000000</v>
      </c>
      <c r="M109" s="4">
        <v>2052000000</v>
      </c>
      <c r="N109" s="4">
        <v>2804000000</v>
      </c>
      <c r="O109" s="5">
        <v>3021000000</v>
      </c>
      <c r="P109" s="4">
        <v>2285000000</v>
      </c>
      <c r="Q109" s="4">
        <v>2804000000</v>
      </c>
      <c r="R109" s="4">
        <v>2911000000</v>
      </c>
      <c r="S109" s="4">
        <v>3021000000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15443000</v>
      </c>
      <c r="C114" s="4">
        <v>19914000</v>
      </c>
      <c r="D114" s="4">
        <v>35862000</v>
      </c>
      <c r="E114" s="4">
        <v>294495000</v>
      </c>
      <c r="F114" s="4">
        <v>661123000</v>
      </c>
      <c r="G114" s="4">
        <v>1658720000</v>
      </c>
      <c r="H114" s="4">
        <v>4101872000</v>
      </c>
      <c r="I114" s="4">
        <v>4752192000</v>
      </c>
      <c r="J114" s="4">
        <v>3039329000</v>
      </c>
      <c r="K114" s="4">
        <v>2691000000</v>
      </c>
      <c r="L114" s="4">
        <v>3330000000</v>
      </c>
      <c r="M114" s="4">
        <v>3546000000</v>
      </c>
      <c r="N114" s="4">
        <v>5330000000</v>
      </c>
      <c r="O114" s="5">
        <v>6924000000</v>
      </c>
      <c r="P114" s="4">
        <v>2415000000</v>
      </c>
      <c r="Q114" s="4">
        <v>5330000000</v>
      </c>
      <c r="R114" s="4">
        <v>5979000000</v>
      </c>
      <c r="S114" s="4">
        <v>6924000000</v>
      </c>
    </row>
    <row r="115" spans="1:19" ht="16" x14ac:dyDescent="0.2">
      <c r="A115" s="3" t="s">
        <v>121</v>
      </c>
      <c r="B115" s="4">
        <v>93469000</v>
      </c>
      <c r="C115" s="4">
        <v>298064000</v>
      </c>
      <c r="D115" s="4">
        <v>646310000</v>
      </c>
      <c r="E115" s="4">
        <v>1174435000</v>
      </c>
      <c r="F115" s="4">
        <v>3633124000</v>
      </c>
      <c r="G115" s="4">
        <v>5381201000</v>
      </c>
      <c r="H115" s="4">
        <v>10931946000</v>
      </c>
      <c r="I115" s="4">
        <v>15386903000</v>
      </c>
      <c r="J115" s="4">
        <v>13433874000</v>
      </c>
      <c r="K115" s="4">
        <v>15532000000</v>
      </c>
      <c r="L115" s="4">
        <v>14221000000</v>
      </c>
      <c r="M115" s="4">
        <v>10843000000</v>
      </c>
      <c r="N115" s="4">
        <v>9731000000</v>
      </c>
      <c r="O115" s="5">
        <v>10817000000</v>
      </c>
      <c r="P115" s="4">
        <v>8691000000</v>
      </c>
      <c r="Q115" s="4">
        <v>9731000000</v>
      </c>
      <c r="R115" s="4">
        <v>10162000000</v>
      </c>
      <c r="S115" s="4">
        <v>10817000000</v>
      </c>
    </row>
    <row r="116" spans="1:19" ht="16" x14ac:dyDescent="0.2">
      <c r="A116" s="3" t="s">
        <v>122</v>
      </c>
      <c r="B116" s="4">
        <v>179034000</v>
      </c>
      <c r="C116" s="4">
        <v>489403000</v>
      </c>
      <c r="D116" s="4">
        <v>989490000</v>
      </c>
      <c r="E116" s="4">
        <v>1749809000</v>
      </c>
      <c r="F116" s="4">
        <v>4937541000</v>
      </c>
      <c r="G116" s="4">
        <v>7003516000</v>
      </c>
      <c r="H116" s="4">
        <v>16758951000</v>
      </c>
      <c r="I116" s="4">
        <v>23023050000</v>
      </c>
      <c r="J116" s="4">
        <v>23426010000</v>
      </c>
      <c r="K116" s="4">
        <v>26199000000</v>
      </c>
      <c r="L116" s="4">
        <v>28469000000</v>
      </c>
      <c r="M116" s="4">
        <v>30548000000</v>
      </c>
      <c r="N116" s="4">
        <v>36440000000</v>
      </c>
      <c r="O116" s="5">
        <v>38409000000</v>
      </c>
      <c r="P116" s="4">
        <v>33302000000</v>
      </c>
      <c r="Q116" s="4">
        <v>36440000000</v>
      </c>
      <c r="R116" s="4">
        <v>37598000000</v>
      </c>
      <c r="S116" s="4">
        <v>38409000000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622030000</v>
      </c>
      <c r="C118" s="4">
        <v>893440000</v>
      </c>
      <c r="D118" s="4">
        <v>1190306000</v>
      </c>
      <c r="E118" s="4">
        <v>1806740000</v>
      </c>
      <c r="F118" s="4">
        <v>2345392000</v>
      </c>
      <c r="G118" s="4">
        <v>3414823000</v>
      </c>
      <c r="H118" s="4">
        <v>7773888000</v>
      </c>
      <c r="I118" s="4">
        <v>9178193000</v>
      </c>
      <c r="J118" s="4">
        <v>10249293000</v>
      </c>
      <c r="K118" s="4">
        <v>12738000000</v>
      </c>
      <c r="L118" s="4">
        <v>27261000000</v>
      </c>
      <c r="M118" s="4">
        <v>29804000000</v>
      </c>
      <c r="N118" s="4">
        <v>32180000000</v>
      </c>
      <c r="O118" s="5">
        <v>33439000000</v>
      </c>
      <c r="P118" s="4">
        <v>31595000000</v>
      </c>
      <c r="Q118" s="4">
        <v>32180000000</v>
      </c>
      <c r="R118" s="4">
        <v>32881000000</v>
      </c>
      <c r="S118" s="4">
        <v>33439000000</v>
      </c>
    </row>
    <row r="119" spans="1:19" ht="16" x14ac:dyDescent="0.2">
      <c r="A119" s="3" t="s">
        <v>125</v>
      </c>
      <c r="B119" s="4">
        <v>95000</v>
      </c>
      <c r="C119" s="4">
        <v>104000</v>
      </c>
      <c r="D119" s="4">
        <v>115000</v>
      </c>
      <c r="E119" s="4">
        <v>123000</v>
      </c>
      <c r="F119" s="4">
        <v>126000</v>
      </c>
      <c r="G119" s="4">
        <v>131000</v>
      </c>
      <c r="H119" s="4">
        <v>161000</v>
      </c>
      <c r="I119" s="4">
        <v>169000</v>
      </c>
      <c r="J119" s="4">
        <v>173000</v>
      </c>
      <c r="K119" s="4">
        <v>1000000</v>
      </c>
      <c r="L119" s="4">
        <v>1000000</v>
      </c>
      <c r="M119" s="4">
        <v>1000000</v>
      </c>
      <c r="N119" s="4">
        <v>3000000</v>
      </c>
      <c r="O119" s="5">
        <v>3000000</v>
      </c>
      <c r="P119" s="4">
        <v>3000000</v>
      </c>
      <c r="Q119" s="4">
        <v>3000000</v>
      </c>
      <c r="R119" s="4">
        <v>3000000</v>
      </c>
      <c r="S119" s="4">
        <v>3000000</v>
      </c>
    </row>
    <row r="120" spans="1:19" ht="16" x14ac:dyDescent="0.2">
      <c r="A120" s="3" t="s">
        <v>126</v>
      </c>
      <c r="B120" s="4">
        <v>621935000</v>
      </c>
      <c r="C120" s="4">
        <v>893336000</v>
      </c>
      <c r="D120" s="4">
        <v>1190191000</v>
      </c>
      <c r="E120" s="4">
        <v>1806617000</v>
      </c>
      <c r="F120" s="4">
        <v>2345266000</v>
      </c>
      <c r="G120" s="4">
        <v>3414692000</v>
      </c>
      <c r="H120" s="4">
        <v>7773727000</v>
      </c>
      <c r="I120" s="4">
        <v>9178024000</v>
      </c>
      <c r="J120" s="4">
        <v>10249120000</v>
      </c>
      <c r="K120" s="4">
        <v>12737000000</v>
      </c>
      <c r="L120" s="4">
        <v>27260000000</v>
      </c>
      <c r="M120" s="4">
        <v>29803000000</v>
      </c>
      <c r="N120" s="4">
        <v>32177000000</v>
      </c>
      <c r="O120" s="5">
        <v>33436000000</v>
      </c>
      <c r="P120" s="4">
        <v>31592000000</v>
      </c>
      <c r="Q120" s="4">
        <v>32177000000</v>
      </c>
      <c r="R120" s="4">
        <v>32878000000</v>
      </c>
      <c r="S120" s="4">
        <v>33436000000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-414982000</v>
      </c>
      <c r="C122" s="4">
        <v>-669392000</v>
      </c>
      <c r="D122" s="4">
        <v>-1065606000</v>
      </c>
      <c r="E122" s="4">
        <v>-1139620000</v>
      </c>
      <c r="F122" s="4">
        <v>-1433682000</v>
      </c>
      <c r="G122" s="4">
        <v>-2322323000</v>
      </c>
      <c r="H122" s="4">
        <v>-2997237000</v>
      </c>
      <c r="I122" s="4">
        <v>-4974299000</v>
      </c>
      <c r="J122" s="4">
        <v>-5317832000</v>
      </c>
      <c r="K122" s="4">
        <v>-6083000000</v>
      </c>
      <c r="L122" s="4">
        <v>-5399000000</v>
      </c>
      <c r="M122" s="4">
        <v>331000000</v>
      </c>
      <c r="N122" s="4">
        <v>12885000000</v>
      </c>
      <c r="O122" s="5">
        <v>18101000000</v>
      </c>
      <c r="P122" s="4">
        <v>9198000000</v>
      </c>
      <c r="Q122" s="4">
        <v>12885000000</v>
      </c>
      <c r="R122" s="4">
        <v>15398000000</v>
      </c>
      <c r="S122" s="4">
        <v>18101000000</v>
      </c>
    </row>
    <row r="123" spans="1:19" ht="16" x14ac:dyDescent="0.2">
      <c r="A123" s="3" t="s">
        <v>129</v>
      </c>
      <c r="B123" s="4" t="s">
        <v>24</v>
      </c>
      <c r="C123" s="4">
        <v>-3000</v>
      </c>
      <c r="D123" s="4" t="s">
        <v>24</v>
      </c>
      <c r="E123" s="4" t="s">
        <v>24</v>
      </c>
      <c r="F123" s="4">
        <v>-22000</v>
      </c>
      <c r="G123" s="4">
        <v>-3556000</v>
      </c>
      <c r="H123" s="4">
        <v>-23740000</v>
      </c>
      <c r="I123" s="4">
        <v>33348000</v>
      </c>
      <c r="J123" s="4">
        <v>-8218000</v>
      </c>
      <c r="K123" s="4">
        <v>-36000000</v>
      </c>
      <c r="L123" s="4">
        <v>363000000</v>
      </c>
      <c r="M123" s="4">
        <v>54000000</v>
      </c>
      <c r="N123" s="4">
        <v>-361000000</v>
      </c>
      <c r="O123" s="5">
        <v>-410000000</v>
      </c>
      <c r="P123" s="4">
        <v>-942000000</v>
      </c>
      <c r="Q123" s="4">
        <v>-361000000</v>
      </c>
      <c r="R123" s="4">
        <v>-225000000</v>
      </c>
      <c r="S123" s="4">
        <v>-410000000</v>
      </c>
    </row>
    <row r="124" spans="1:19" ht="16" x14ac:dyDescent="0.2">
      <c r="A124" s="3" t="s">
        <v>130</v>
      </c>
      <c r="B124" s="4">
        <v>207048000</v>
      </c>
      <c r="C124" s="4">
        <v>224045000</v>
      </c>
      <c r="D124" s="4">
        <v>124700000</v>
      </c>
      <c r="E124" s="4">
        <v>667121000</v>
      </c>
      <c r="F124" s="4">
        <v>911710000</v>
      </c>
      <c r="G124" s="4">
        <v>1088944000</v>
      </c>
      <c r="H124" s="4">
        <v>4752911000</v>
      </c>
      <c r="I124" s="4">
        <v>4237242000</v>
      </c>
      <c r="J124" s="4">
        <v>4923243000</v>
      </c>
      <c r="K124" s="4">
        <v>6618000000</v>
      </c>
      <c r="L124" s="4">
        <v>22225000000</v>
      </c>
      <c r="M124" s="4">
        <v>30189000000</v>
      </c>
      <c r="N124" s="4">
        <v>44704000000</v>
      </c>
      <c r="O124" s="5">
        <v>51130000000</v>
      </c>
      <c r="P124" s="4">
        <v>39851000000</v>
      </c>
      <c r="Q124" s="4">
        <v>44704000000</v>
      </c>
      <c r="R124" s="4">
        <v>48054000000</v>
      </c>
      <c r="S124" s="4">
        <v>51130000000</v>
      </c>
    </row>
    <row r="125" spans="1:19" ht="16" x14ac:dyDescent="0.2">
      <c r="A125" s="3" t="s">
        <v>131</v>
      </c>
      <c r="B125" s="4" t="s">
        <v>24</v>
      </c>
      <c r="C125" s="4" t="s">
        <v>24</v>
      </c>
      <c r="D125" s="4" t="s">
        <v>24</v>
      </c>
      <c r="E125" s="4" t="s">
        <v>24</v>
      </c>
      <c r="F125" s="4" t="s">
        <v>24</v>
      </c>
      <c r="G125" s="4" t="s">
        <v>24</v>
      </c>
      <c r="H125" s="4">
        <v>1152214000</v>
      </c>
      <c r="I125" s="4">
        <v>1395080000</v>
      </c>
      <c r="J125" s="4">
        <v>1390361000</v>
      </c>
      <c r="K125" s="4">
        <v>1492000000</v>
      </c>
      <c r="L125" s="4">
        <v>1454000000</v>
      </c>
      <c r="M125" s="4">
        <v>1394000000</v>
      </c>
      <c r="N125" s="4">
        <v>1194000000</v>
      </c>
      <c r="O125" s="5">
        <v>1052000000</v>
      </c>
      <c r="P125" s="4">
        <v>1273000000</v>
      </c>
      <c r="Q125" s="4">
        <v>1194000000</v>
      </c>
      <c r="R125" s="4">
        <v>1181000000</v>
      </c>
      <c r="S125" s="4">
        <v>1052000000</v>
      </c>
    </row>
    <row r="126" spans="1:19" ht="16" x14ac:dyDescent="0.2">
      <c r="A126" s="3" t="s">
        <v>132</v>
      </c>
      <c r="B126" s="4">
        <v>207048000</v>
      </c>
      <c r="C126" s="4">
        <v>224045000</v>
      </c>
      <c r="D126" s="4">
        <v>124700000</v>
      </c>
      <c r="E126" s="4">
        <v>667121000</v>
      </c>
      <c r="F126" s="4">
        <v>911710000</v>
      </c>
      <c r="G126" s="4">
        <v>1088944000</v>
      </c>
      <c r="H126" s="4">
        <v>5905125000</v>
      </c>
      <c r="I126" s="4">
        <v>5632322000</v>
      </c>
      <c r="J126" s="4">
        <v>6313604000</v>
      </c>
      <c r="K126" s="4">
        <v>8110000000</v>
      </c>
      <c r="L126" s="4">
        <v>23679000000</v>
      </c>
      <c r="M126" s="4">
        <v>31583000000</v>
      </c>
      <c r="N126" s="4">
        <v>45898000000</v>
      </c>
      <c r="O126" s="5">
        <v>52182000000</v>
      </c>
      <c r="P126" s="4">
        <v>41124000000</v>
      </c>
      <c r="Q126" s="4">
        <v>45898000000</v>
      </c>
      <c r="R126" s="4">
        <v>49235000000</v>
      </c>
      <c r="S126" s="4">
        <v>52182000000</v>
      </c>
    </row>
    <row r="127" spans="1:19" ht="16" x14ac:dyDescent="0.2">
      <c r="A127" s="3" t="s">
        <v>133</v>
      </c>
      <c r="B127" s="4">
        <v>386082000</v>
      </c>
      <c r="C127" s="4">
        <v>713448000</v>
      </c>
      <c r="D127" s="4">
        <v>1114190000</v>
      </c>
      <c r="E127" s="4">
        <v>2416930000</v>
      </c>
      <c r="F127" s="4">
        <v>5849251000</v>
      </c>
      <c r="G127" s="4">
        <v>8092460000</v>
      </c>
      <c r="H127" s="4">
        <v>22664076000</v>
      </c>
      <c r="I127" s="4">
        <v>28655372000</v>
      </c>
      <c r="J127" s="4">
        <v>29739614000</v>
      </c>
      <c r="K127" s="4">
        <v>34309000000</v>
      </c>
      <c r="L127" s="4">
        <v>52148000000</v>
      </c>
      <c r="M127" s="4">
        <v>62131000000</v>
      </c>
      <c r="N127" s="4">
        <v>82338000000</v>
      </c>
      <c r="O127" s="5">
        <v>90591000000</v>
      </c>
      <c r="P127" s="4">
        <v>74426000000</v>
      </c>
      <c r="Q127" s="4">
        <v>82338000000</v>
      </c>
      <c r="R127" s="4">
        <v>86833000000</v>
      </c>
      <c r="S127" s="4">
        <v>90591000000</v>
      </c>
    </row>
    <row r="128" spans="1:19" ht="16" x14ac:dyDescent="0.2">
      <c r="A128" s="28" t="s">
        <v>134</v>
      </c>
      <c r="B128" s="26">
        <v>1423625550</v>
      </c>
      <c r="C128" s="26">
        <v>1567954575</v>
      </c>
      <c r="D128" s="26">
        <v>1713214110</v>
      </c>
      <c r="E128" s="26">
        <v>1846364850</v>
      </c>
      <c r="F128" s="26">
        <v>1885314105</v>
      </c>
      <c r="G128" s="26">
        <v>1971375000</v>
      </c>
      <c r="H128" s="26">
        <v>2423415000</v>
      </c>
      <c r="I128" s="26">
        <v>2531955000</v>
      </c>
      <c r="J128" s="26">
        <v>2589039420</v>
      </c>
      <c r="K128" s="26">
        <v>2715931290</v>
      </c>
      <c r="L128" s="26">
        <v>2880000000</v>
      </c>
      <c r="M128" s="26">
        <v>3099000000</v>
      </c>
      <c r="N128" s="26">
        <v>3164000000</v>
      </c>
      <c r="O128" s="27">
        <v>3174000000</v>
      </c>
      <c r="P128" s="26">
        <v>3158000000</v>
      </c>
      <c r="Q128" s="26">
        <v>3164000000</v>
      </c>
      <c r="R128" s="26">
        <v>3169000000</v>
      </c>
      <c r="S128" s="26">
        <v>3174000000</v>
      </c>
    </row>
    <row r="129" spans="1:19" ht="16" x14ac:dyDescent="0.2">
      <c r="A129" s="13" t="s">
        <v>197</v>
      </c>
      <c r="B129" s="10"/>
      <c r="C129" s="19">
        <f>(C128/B128)-1</f>
        <v>0.10138131125842742</v>
      </c>
      <c r="D129" s="19">
        <f>(D128/C128)-1</f>
        <v>9.2642693427518408E-2</v>
      </c>
      <c r="E129" s="19">
        <f>(E128/D128)-1</f>
        <v>7.7719847871204006E-2</v>
      </c>
      <c r="F129" s="19">
        <f t="shared" ref="F129:N129" si="6">(F128/E128)-1</f>
        <v>2.1095102086675865E-2</v>
      </c>
      <c r="G129" s="19">
        <f t="shared" si="6"/>
        <v>4.5648040701419257E-2</v>
      </c>
      <c r="H129" s="19">
        <f t="shared" si="6"/>
        <v>0.22930188320334799</v>
      </c>
      <c r="I129" s="19">
        <f t="shared" si="6"/>
        <v>4.4788036716781887E-2</v>
      </c>
      <c r="J129" s="19">
        <f t="shared" si="6"/>
        <v>2.2545590265229842E-2</v>
      </c>
      <c r="K129" s="19">
        <f t="shared" si="6"/>
        <v>4.9011177280568363E-2</v>
      </c>
      <c r="L129" s="19">
        <f t="shared" si="6"/>
        <v>6.0409742545438183E-2</v>
      </c>
      <c r="M129" s="19">
        <f t="shared" si="6"/>
        <v>7.6041666666666563E-2</v>
      </c>
      <c r="N129" s="19">
        <f t="shared" si="6"/>
        <v>2.0974507905776152E-2</v>
      </c>
      <c r="O129" s="19">
        <f>(O128/N128)-1</f>
        <v>3.160556257901348E-3</v>
      </c>
      <c r="P129" s="19"/>
      <c r="Q129" s="19">
        <f>(Q128/P128)-1</f>
        <v>1.8999366687777464E-3</v>
      </c>
      <c r="R129" s="19">
        <f>(R128/Q128)-1</f>
        <v>1.580278128950674E-3</v>
      </c>
      <c r="S129" s="19">
        <f>(S128/R128)-1</f>
        <v>1.5777847901545794E-3</v>
      </c>
    </row>
    <row r="130" spans="1:19" ht="16" x14ac:dyDescent="0.2">
      <c r="A130" s="3" t="s">
        <v>135</v>
      </c>
      <c r="B130" s="4">
        <v>775000</v>
      </c>
      <c r="C130" s="4">
        <v>3897000</v>
      </c>
      <c r="D130" s="4">
        <v>18695000</v>
      </c>
      <c r="E130" s="4">
        <v>28299000</v>
      </c>
      <c r="F130" s="4">
        <v>52361000</v>
      </c>
      <c r="G130" s="4">
        <v>32671000</v>
      </c>
      <c r="H130" s="4">
        <v>1459684000</v>
      </c>
      <c r="I130" s="4">
        <v>1801010000</v>
      </c>
      <c r="J130" s="4">
        <v>3194796000</v>
      </c>
      <c r="K130" s="4">
        <v>2896000000</v>
      </c>
      <c r="L130" s="4">
        <v>3008000000</v>
      </c>
      <c r="M130" s="4">
        <v>3531000000</v>
      </c>
      <c r="N130" s="4">
        <v>3703000000</v>
      </c>
      <c r="O130" s="5">
        <v>4292000000</v>
      </c>
      <c r="P130" s="4">
        <v>3477000000</v>
      </c>
      <c r="Q130" s="4">
        <v>3703000000</v>
      </c>
      <c r="R130" s="4">
        <v>3822000000</v>
      </c>
      <c r="S130" s="4">
        <v>4292000000</v>
      </c>
    </row>
    <row r="131" spans="1:19" ht="16" x14ac:dyDescent="0.2">
      <c r="A131" s="3" t="s">
        <v>136</v>
      </c>
      <c r="B131" s="4">
        <v>-27730000</v>
      </c>
      <c r="C131" s="4">
        <v>20985000</v>
      </c>
      <c r="D131" s="4">
        <v>301288000</v>
      </c>
      <c r="E131" s="4">
        <v>-259406000</v>
      </c>
      <c r="F131" s="4">
        <v>1162133000</v>
      </c>
      <c r="G131" s="4">
        <v>2119172000</v>
      </c>
      <c r="H131" s="4">
        <v>3735215000</v>
      </c>
      <c r="I131" s="4">
        <v>6947024000</v>
      </c>
      <c r="J131" s="4">
        <v>8285753000</v>
      </c>
      <c r="K131" s="4">
        <v>7151000000</v>
      </c>
      <c r="L131" s="4">
        <v>-7645000000</v>
      </c>
      <c r="M131" s="4">
        <v>-10742000000</v>
      </c>
      <c r="N131" s="4">
        <v>-19086000000</v>
      </c>
      <c r="O131" s="5">
        <v>-20744000000</v>
      </c>
      <c r="P131" s="4">
        <v>-17135000000</v>
      </c>
      <c r="Q131" s="4">
        <v>-19086000000</v>
      </c>
      <c r="R131" s="4">
        <v>-19726000000</v>
      </c>
      <c r="S131" s="4">
        <v>-20744000000</v>
      </c>
    </row>
    <row r="132" spans="1:19" ht="16" x14ac:dyDescent="0.2">
      <c r="A132" s="3" t="s">
        <v>137</v>
      </c>
      <c r="B132" s="6">
        <v>-13.39</v>
      </c>
      <c r="C132" s="6">
        <v>9.3699999999999992</v>
      </c>
      <c r="D132" s="6">
        <v>241.61</v>
      </c>
      <c r="E132" s="6">
        <v>-38.880000000000003</v>
      </c>
      <c r="F132" s="6">
        <v>127.47</v>
      </c>
      <c r="G132" s="6">
        <v>194.61</v>
      </c>
      <c r="H132" s="6">
        <v>63.25</v>
      </c>
      <c r="I132" s="6">
        <v>123.34</v>
      </c>
      <c r="J132" s="6">
        <v>131.24</v>
      </c>
      <c r="K132" s="6">
        <v>88.18</v>
      </c>
      <c r="L132" s="6">
        <v>-32.29</v>
      </c>
      <c r="M132" s="6">
        <v>-34.01</v>
      </c>
      <c r="N132" s="6">
        <v>-41.58</v>
      </c>
      <c r="O132" s="7">
        <v>-39.75</v>
      </c>
      <c r="P132" s="6">
        <v>-41.67</v>
      </c>
      <c r="Q132" s="6">
        <v>-41.58</v>
      </c>
      <c r="R132" s="6">
        <v>-40.06</v>
      </c>
      <c r="S132" s="6">
        <v>-39.75</v>
      </c>
    </row>
    <row r="133" spans="1:19" ht="16" x14ac:dyDescent="0.2">
      <c r="A133" s="3" t="s">
        <v>138</v>
      </c>
      <c r="B133" s="6">
        <v>53.63</v>
      </c>
      <c r="C133" s="6">
        <v>29.98</v>
      </c>
      <c r="D133" s="6">
        <v>10.039999999999999</v>
      </c>
      <c r="E133" s="6">
        <v>27.18</v>
      </c>
      <c r="F133" s="6">
        <v>15.59</v>
      </c>
      <c r="G133" s="6">
        <v>13.32</v>
      </c>
      <c r="H133" s="6">
        <v>24.81</v>
      </c>
      <c r="I133" s="6">
        <v>18.46</v>
      </c>
      <c r="J133" s="6">
        <v>20.29</v>
      </c>
      <c r="K133" s="6">
        <v>22.42</v>
      </c>
      <c r="L133" s="6">
        <v>44.86</v>
      </c>
      <c r="M133" s="6">
        <v>49.44</v>
      </c>
      <c r="N133" s="6">
        <v>55.42</v>
      </c>
      <c r="O133" s="7">
        <v>57.3</v>
      </c>
      <c r="P133" s="6">
        <v>54.87</v>
      </c>
      <c r="Q133" s="6">
        <v>55.42</v>
      </c>
      <c r="R133" s="6">
        <v>56.41</v>
      </c>
      <c r="S133" s="6">
        <v>57.3</v>
      </c>
    </row>
    <row r="134" spans="1:19" ht="16" x14ac:dyDescent="0.2">
      <c r="A134" s="3" t="s">
        <v>139</v>
      </c>
      <c r="B134" s="6">
        <v>2.76</v>
      </c>
      <c r="C134" s="6">
        <v>1.95</v>
      </c>
      <c r="D134" s="6">
        <v>1.53</v>
      </c>
      <c r="E134" s="6">
        <v>2.2000000000000002</v>
      </c>
      <c r="F134" s="6">
        <v>2.4500000000000002</v>
      </c>
      <c r="G134" s="6">
        <v>1.72</v>
      </c>
      <c r="H134" s="6">
        <v>1.07</v>
      </c>
      <c r="I134" s="6">
        <v>0.86</v>
      </c>
      <c r="J134" s="6">
        <v>0.83</v>
      </c>
      <c r="K134" s="6">
        <v>1.1299999999999999</v>
      </c>
      <c r="L134" s="6">
        <v>1.88</v>
      </c>
      <c r="M134" s="6">
        <v>1.38</v>
      </c>
      <c r="N134" s="6">
        <v>1.53</v>
      </c>
      <c r="O134" s="7">
        <v>1.59</v>
      </c>
      <c r="P134" s="6">
        <v>1.46</v>
      </c>
      <c r="Q134" s="6">
        <v>1.53</v>
      </c>
      <c r="R134" s="6">
        <v>1.57</v>
      </c>
      <c r="S134" s="6">
        <v>1.59</v>
      </c>
    </row>
    <row r="135" spans="1:19" ht="16" x14ac:dyDescent="0.2">
      <c r="A135" s="3" t="s">
        <v>140</v>
      </c>
      <c r="B135" s="6">
        <v>86.65</v>
      </c>
      <c r="C135" s="6">
        <v>31.15</v>
      </c>
      <c r="D135" s="6">
        <v>46.66</v>
      </c>
      <c r="E135" s="6">
        <v>-6.39</v>
      </c>
      <c r="F135" s="6">
        <v>26.79</v>
      </c>
      <c r="G135" s="6">
        <v>21.94</v>
      </c>
      <c r="H135" s="6">
        <v>36.14</v>
      </c>
      <c r="I135" s="6">
        <v>18.920000000000002</v>
      </c>
      <c r="J135" s="6">
        <v>10.9</v>
      </c>
      <c r="K135" s="6">
        <v>13.68</v>
      </c>
      <c r="L135" s="6">
        <v>4.24</v>
      </c>
      <c r="M135" s="6">
        <v>-12.45</v>
      </c>
      <c r="N135" s="6">
        <v>-1.26</v>
      </c>
      <c r="O135" s="7">
        <v>5.9</v>
      </c>
      <c r="P135" s="6">
        <v>-5.62</v>
      </c>
      <c r="Q135" s="6">
        <v>-1.26</v>
      </c>
      <c r="R135" s="6">
        <v>2.4500000000000002</v>
      </c>
      <c r="S135" s="6">
        <v>5.9</v>
      </c>
    </row>
    <row r="136" spans="1:19" ht="16" x14ac:dyDescent="0.2">
      <c r="A136" s="3" t="s">
        <v>141</v>
      </c>
      <c r="B136" s="4">
        <v>899</v>
      </c>
      <c r="C136" s="4">
        <v>1417</v>
      </c>
      <c r="D136" s="4">
        <v>2964</v>
      </c>
      <c r="E136" s="4">
        <v>5859</v>
      </c>
      <c r="F136" s="4">
        <v>10161</v>
      </c>
      <c r="G136" s="4">
        <v>13058</v>
      </c>
      <c r="H136" s="4">
        <v>30025</v>
      </c>
      <c r="I136" s="4">
        <v>37543</v>
      </c>
      <c r="J136" s="4">
        <v>48817</v>
      </c>
      <c r="K136" s="4">
        <v>48016</v>
      </c>
      <c r="L136" s="4">
        <v>70757</v>
      </c>
      <c r="M136" s="4">
        <v>99290</v>
      </c>
      <c r="N136" s="4">
        <v>127855</v>
      </c>
      <c r="O136" s="5">
        <v>127855</v>
      </c>
      <c r="P136" s="4">
        <v>99290</v>
      </c>
      <c r="Q136" s="4">
        <v>127855</v>
      </c>
      <c r="R136" s="4">
        <v>127855</v>
      </c>
      <c r="S136" s="4">
        <v>127855</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-154328000</v>
      </c>
      <c r="C139" s="4">
        <v>-254411000</v>
      </c>
      <c r="D139" s="4">
        <v>-396213000</v>
      </c>
      <c r="E139" s="4">
        <v>-74014000</v>
      </c>
      <c r="F139" s="4">
        <v>-294040000</v>
      </c>
      <c r="G139" s="4">
        <v>-888663000</v>
      </c>
      <c r="H139" s="4">
        <v>-773046000</v>
      </c>
      <c r="I139" s="4">
        <v>-2240578000</v>
      </c>
      <c r="J139" s="4">
        <v>-1062582000</v>
      </c>
      <c r="K139" s="4">
        <v>-775000000</v>
      </c>
      <c r="L139" s="4">
        <v>862000000</v>
      </c>
      <c r="M139" s="4">
        <v>5644000000</v>
      </c>
      <c r="N139" s="4">
        <v>12587000000</v>
      </c>
      <c r="O139" s="5">
        <v>12191000000</v>
      </c>
      <c r="P139" s="4">
        <v>3331000000</v>
      </c>
      <c r="Q139" s="4">
        <v>3707000000</v>
      </c>
      <c r="R139" s="4">
        <v>2539000000</v>
      </c>
      <c r="S139" s="4">
        <v>2614000000</v>
      </c>
    </row>
    <row r="140" spans="1:19" ht="16" x14ac:dyDescent="0.2">
      <c r="A140" s="3" t="s">
        <v>143</v>
      </c>
      <c r="B140" s="4">
        <v>10623000</v>
      </c>
      <c r="C140" s="4">
        <v>16919000</v>
      </c>
      <c r="D140" s="4">
        <v>28825000</v>
      </c>
      <c r="E140" s="4">
        <v>106083000</v>
      </c>
      <c r="F140" s="4">
        <v>231931000</v>
      </c>
      <c r="G140" s="4">
        <v>422590000</v>
      </c>
      <c r="H140" s="4">
        <v>947099000</v>
      </c>
      <c r="I140" s="4">
        <v>1636003000</v>
      </c>
      <c r="J140" s="4">
        <v>1901050000</v>
      </c>
      <c r="K140" s="4">
        <v>2154000000</v>
      </c>
      <c r="L140" s="4">
        <v>2322000000</v>
      </c>
      <c r="M140" s="4">
        <v>2911000000</v>
      </c>
      <c r="N140" s="4">
        <v>3747000000</v>
      </c>
      <c r="O140" s="5">
        <v>4145000000</v>
      </c>
      <c r="P140" s="4">
        <v>956000000</v>
      </c>
      <c r="Q140" s="4">
        <v>989000000</v>
      </c>
      <c r="R140" s="4">
        <v>1046000000</v>
      </c>
      <c r="S140" s="4">
        <v>1154000000</v>
      </c>
    </row>
    <row r="141" spans="1:19" ht="16" x14ac:dyDescent="0.2">
      <c r="A141" s="3" t="s">
        <v>144</v>
      </c>
      <c r="B141" s="4">
        <v>27063000</v>
      </c>
      <c r="C141" s="4">
        <v>34231000</v>
      </c>
      <c r="D141" s="4">
        <v>89708000</v>
      </c>
      <c r="E141" s="4">
        <v>100930000</v>
      </c>
      <c r="F141" s="4">
        <v>261597000</v>
      </c>
      <c r="G141" s="4">
        <v>434863000</v>
      </c>
      <c r="H141" s="4">
        <v>395979000</v>
      </c>
      <c r="I141" s="4">
        <v>1040524000</v>
      </c>
      <c r="J141" s="4">
        <v>1201383000</v>
      </c>
      <c r="K141" s="4">
        <v>1375000000</v>
      </c>
      <c r="L141" s="4">
        <v>2575000000</v>
      </c>
      <c r="M141" s="4">
        <v>2424000000</v>
      </c>
      <c r="N141" s="4">
        <v>2298000000</v>
      </c>
      <c r="O141" s="5">
        <v>2211000000</v>
      </c>
      <c r="P141" s="4">
        <v>582000000</v>
      </c>
      <c r="Q141" s="4">
        <v>773000000</v>
      </c>
      <c r="R141" s="4">
        <v>458000000</v>
      </c>
      <c r="S141" s="4">
        <v>398000000</v>
      </c>
    </row>
    <row r="142" spans="1:19" ht="16" x14ac:dyDescent="0.2">
      <c r="A142" s="28" t="s">
        <v>145</v>
      </c>
      <c r="B142" s="26">
        <v>21156000</v>
      </c>
      <c r="C142" s="26">
        <v>29419000</v>
      </c>
      <c r="D142" s="26">
        <v>50145000</v>
      </c>
      <c r="E142" s="26">
        <v>80737000</v>
      </c>
      <c r="F142" s="26">
        <v>156496000</v>
      </c>
      <c r="G142" s="26">
        <v>197999000</v>
      </c>
      <c r="H142" s="26">
        <v>334225000</v>
      </c>
      <c r="I142" s="26">
        <v>466760000</v>
      </c>
      <c r="J142" s="26">
        <v>749024000</v>
      </c>
      <c r="K142" s="26">
        <v>898000000</v>
      </c>
      <c r="L142" s="26">
        <v>1734000000</v>
      </c>
      <c r="M142" s="26">
        <v>2121000000</v>
      </c>
      <c r="N142" s="26">
        <v>1560000000</v>
      </c>
      <c r="O142" s="27">
        <v>1644000000</v>
      </c>
      <c r="P142" s="26">
        <v>362000000</v>
      </c>
      <c r="Q142" s="26">
        <v>419000000</v>
      </c>
      <c r="R142" s="26">
        <v>418000000</v>
      </c>
      <c r="S142" s="26">
        <v>445000000</v>
      </c>
    </row>
    <row r="143" spans="1:19" ht="16" x14ac:dyDescent="0.2">
      <c r="A143" s="12" t="s">
        <v>198</v>
      </c>
      <c r="B143" s="19">
        <f t="shared" ref="B143:S143" si="7">B142/B2</f>
        <v>0.1812170218597958</v>
      </c>
      <c r="C143" s="19">
        <f t="shared" si="7"/>
        <v>0.14403991343602196</v>
      </c>
      <c r="D143" s="19">
        <f t="shared" si="7"/>
        <v>0.12134125094372496</v>
      </c>
      <c r="E143" s="19">
        <f t="shared" si="7"/>
        <v>4.0097919240961989E-2</v>
      </c>
      <c r="F143" s="19">
        <f t="shared" si="7"/>
        <v>4.8930137858324715E-2</v>
      </c>
      <c r="G143" s="19">
        <f t="shared" si="7"/>
        <v>4.8936684508050374E-2</v>
      </c>
      <c r="H143" s="19">
        <f t="shared" si="7"/>
        <v>4.7745528227182005E-2</v>
      </c>
      <c r="I143" s="19">
        <f t="shared" si="7"/>
        <v>3.9694692063808476E-2</v>
      </c>
      <c r="J143" s="19">
        <f t="shared" si="7"/>
        <v>3.4901199686803219E-2</v>
      </c>
      <c r="K143" s="19">
        <f t="shared" si="7"/>
        <v>3.6536740174139472E-2</v>
      </c>
      <c r="L143" s="19">
        <f t="shared" si="7"/>
        <v>5.498477929984779E-2</v>
      </c>
      <c r="M143" s="19">
        <f t="shared" si="7"/>
        <v>3.9406944986344131E-2</v>
      </c>
      <c r="N143" s="19">
        <f t="shared" si="7"/>
        <v>1.9150033144288134E-2</v>
      </c>
      <c r="O143" s="19">
        <f t="shared" si="7"/>
        <v>1.7484153656357682E-2</v>
      </c>
      <c r="P143" s="19">
        <f t="shared" si="7"/>
        <v>1.6873310338398433E-2</v>
      </c>
      <c r="Q143" s="19">
        <f t="shared" si="7"/>
        <v>1.7230035364750391E-2</v>
      </c>
      <c r="R143" s="19">
        <f t="shared" si="7"/>
        <v>1.791761327103605E-2</v>
      </c>
      <c r="S143" s="19">
        <f t="shared" si="7"/>
        <v>1.7852128214386007E-2</v>
      </c>
    </row>
    <row r="144" spans="1:19"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v>951000</v>
      </c>
      <c r="C145" s="4">
        <v>1828000</v>
      </c>
      <c r="D145" s="4">
        <v>4929000</v>
      </c>
      <c r="E145" s="4">
        <v>14476000</v>
      </c>
      <c r="F145" s="4">
        <v>15609000</v>
      </c>
      <c r="G145" s="4">
        <v>44940000</v>
      </c>
      <c r="H145" s="4">
        <v>65520000</v>
      </c>
      <c r="I145" s="4">
        <v>131665000</v>
      </c>
      <c r="J145" s="4">
        <v>85272000</v>
      </c>
      <c r="K145" s="4">
        <v>193000000</v>
      </c>
      <c r="L145" s="4">
        <v>202000000</v>
      </c>
      <c r="M145" s="4">
        <v>140000000</v>
      </c>
      <c r="N145" s="4">
        <v>177000000</v>
      </c>
      <c r="O145" s="5">
        <v>336000000</v>
      </c>
      <c r="P145" s="4">
        <v>60000000</v>
      </c>
      <c r="Q145" s="4">
        <v>59000000</v>
      </c>
      <c r="R145" s="4">
        <v>50000000</v>
      </c>
      <c r="S145" s="4">
        <v>167000000</v>
      </c>
    </row>
    <row r="146" spans="1:19" ht="16" x14ac:dyDescent="0.2">
      <c r="A146" s="3" t="s">
        <v>148</v>
      </c>
      <c r="B146" s="4">
        <v>4956000</v>
      </c>
      <c r="C146" s="4">
        <v>2984000</v>
      </c>
      <c r="D146" s="4">
        <v>34634000</v>
      </c>
      <c r="E146" s="4">
        <v>5717000</v>
      </c>
      <c r="F146" s="4">
        <v>89492000</v>
      </c>
      <c r="G146" s="4">
        <v>191924000</v>
      </c>
      <c r="H146" s="4">
        <v>-3766000</v>
      </c>
      <c r="I146" s="4">
        <v>442099000</v>
      </c>
      <c r="J146" s="4">
        <v>367087000</v>
      </c>
      <c r="K146" s="4">
        <v>284000000</v>
      </c>
      <c r="L146" s="4">
        <v>639000000</v>
      </c>
      <c r="M146" s="4">
        <v>163000000</v>
      </c>
      <c r="N146" s="4">
        <v>561000000</v>
      </c>
      <c r="O146" s="5">
        <v>231000000</v>
      </c>
      <c r="P146" s="4">
        <v>160000000</v>
      </c>
      <c r="Q146" s="4">
        <v>295000000</v>
      </c>
      <c r="R146" s="4">
        <v>-10000000</v>
      </c>
      <c r="S146" s="4">
        <v>-214000000</v>
      </c>
    </row>
    <row r="147" spans="1:19" ht="16" x14ac:dyDescent="0.2">
      <c r="A147" s="3" t="s">
        <v>149</v>
      </c>
      <c r="B147" s="4">
        <v>-11175000</v>
      </c>
      <c r="C147" s="4">
        <v>88897000</v>
      </c>
      <c r="D147" s="4">
        <v>42819000</v>
      </c>
      <c r="E147" s="4">
        <v>124995000</v>
      </c>
      <c r="F147" s="4">
        <v>-256825000</v>
      </c>
      <c r="G147" s="4">
        <v>-493289000</v>
      </c>
      <c r="H147" s="4">
        <v>-693861000</v>
      </c>
      <c r="I147" s="4">
        <v>-496603000</v>
      </c>
      <c r="J147" s="4">
        <v>57951000</v>
      </c>
      <c r="K147" s="4">
        <v>-349000000</v>
      </c>
      <c r="L147" s="4">
        <v>184000000</v>
      </c>
      <c r="M147" s="4">
        <v>518000000</v>
      </c>
      <c r="N147" s="4">
        <v>-3908000000</v>
      </c>
      <c r="O147" s="5">
        <v>-4591000000</v>
      </c>
      <c r="P147" s="4">
        <v>231000000</v>
      </c>
      <c r="Q147" s="4">
        <v>-2191000000</v>
      </c>
      <c r="R147" s="4">
        <v>-1530000000</v>
      </c>
      <c r="S147" s="4">
        <v>-1101000000</v>
      </c>
    </row>
    <row r="148" spans="1:19" ht="16" x14ac:dyDescent="0.2">
      <c r="A148" s="3" t="s">
        <v>150</v>
      </c>
      <c r="B148" s="4">
        <v>-3222000</v>
      </c>
      <c r="C148" s="4">
        <v>-2829000</v>
      </c>
      <c r="D148" s="4">
        <v>-17303000</v>
      </c>
      <c r="E148" s="4">
        <v>-21917000</v>
      </c>
      <c r="F148" s="4">
        <v>-183658000</v>
      </c>
      <c r="G148" s="4">
        <v>46267000</v>
      </c>
      <c r="H148" s="4">
        <v>-216565000</v>
      </c>
      <c r="I148" s="4">
        <v>-24635000</v>
      </c>
      <c r="J148" s="4">
        <v>-496732000</v>
      </c>
      <c r="K148" s="4">
        <v>-367000000</v>
      </c>
      <c r="L148" s="4">
        <v>-652000000</v>
      </c>
      <c r="M148" s="4">
        <v>-130000000</v>
      </c>
      <c r="N148" s="4">
        <v>-1124000000</v>
      </c>
      <c r="O148" s="5">
        <v>-1395000000</v>
      </c>
      <c r="P148" s="4">
        <v>-193000000</v>
      </c>
      <c r="Q148" s="4">
        <v>-698000000</v>
      </c>
      <c r="R148" s="4">
        <v>-32000000</v>
      </c>
      <c r="S148" s="4">
        <v>-472000000</v>
      </c>
    </row>
    <row r="149" spans="1:19" ht="16" x14ac:dyDescent="0.2">
      <c r="A149" s="3" t="s">
        <v>151</v>
      </c>
      <c r="B149" s="4">
        <v>-20115000</v>
      </c>
      <c r="C149" s="4">
        <v>-13638000</v>
      </c>
      <c r="D149" s="4">
        <v>-194726000</v>
      </c>
      <c r="E149" s="4">
        <v>-463270000</v>
      </c>
      <c r="F149" s="4">
        <v>-1050264000</v>
      </c>
      <c r="G149" s="4">
        <v>-1573860000</v>
      </c>
      <c r="H149" s="4">
        <v>-2465703000</v>
      </c>
      <c r="I149" s="4">
        <v>-178850000</v>
      </c>
      <c r="J149" s="4">
        <v>-1023264000</v>
      </c>
      <c r="K149" s="4">
        <v>-429000000</v>
      </c>
      <c r="L149" s="4">
        <v>-422000000</v>
      </c>
      <c r="M149" s="4">
        <v>-1709000000</v>
      </c>
      <c r="N149" s="4">
        <v>-6465000000</v>
      </c>
      <c r="O149" s="5">
        <v>-6389000000</v>
      </c>
      <c r="P149" s="4">
        <v>-2300000000</v>
      </c>
      <c r="Q149" s="4">
        <v>-1973000000</v>
      </c>
      <c r="R149" s="4">
        <v>-1540000000</v>
      </c>
      <c r="S149" s="4">
        <v>-576000000</v>
      </c>
    </row>
    <row r="150" spans="1:19" ht="16" x14ac:dyDescent="0.2">
      <c r="A150" s="3" t="s">
        <v>152</v>
      </c>
      <c r="B150" s="4">
        <v>-4977000</v>
      </c>
      <c r="C150" s="4">
        <v>-248000</v>
      </c>
      <c r="D150" s="4">
        <v>1121000</v>
      </c>
      <c r="E150" s="4">
        <v>-17466000</v>
      </c>
      <c r="F150" s="4">
        <v>-60637000</v>
      </c>
      <c r="G150" s="4">
        <v>-29595000</v>
      </c>
      <c r="H150" s="4">
        <v>56806000</v>
      </c>
      <c r="I150" s="4">
        <v>-72084000</v>
      </c>
      <c r="J150" s="4">
        <v>-82125000</v>
      </c>
      <c r="K150" s="4">
        <v>-288000000</v>
      </c>
      <c r="L150" s="4">
        <v>-251000000</v>
      </c>
      <c r="M150" s="4">
        <v>-271000000</v>
      </c>
      <c r="N150" s="4">
        <v>-1417000000</v>
      </c>
      <c r="O150" s="5">
        <v>-889000000</v>
      </c>
      <c r="P150" s="4">
        <v>-332000000</v>
      </c>
      <c r="Q150" s="4">
        <v>-552000000</v>
      </c>
      <c r="R150" s="4">
        <v>-79000000</v>
      </c>
      <c r="S150" s="4">
        <v>74000000</v>
      </c>
    </row>
    <row r="151" spans="1:19" ht="16" x14ac:dyDescent="0.2">
      <c r="A151" s="3" t="s">
        <v>153</v>
      </c>
      <c r="B151" s="4">
        <v>13133000</v>
      </c>
      <c r="C151" s="4">
        <v>44180000</v>
      </c>
      <c r="D151" s="4">
        <v>197424000</v>
      </c>
      <c r="E151" s="4">
        <v>66324000</v>
      </c>
      <c r="F151" s="4">
        <v>414856000</v>
      </c>
      <c r="G151" s="4">
        <v>263345000</v>
      </c>
      <c r="H151" s="4">
        <v>750640000</v>
      </c>
      <c r="I151" s="4">
        <v>388206000</v>
      </c>
      <c r="J151" s="4">
        <v>1722850000</v>
      </c>
      <c r="K151" s="4">
        <v>682000000</v>
      </c>
      <c r="L151" s="4">
        <v>2102000000</v>
      </c>
      <c r="M151" s="4">
        <v>4578000000</v>
      </c>
      <c r="N151" s="4">
        <v>6029000000</v>
      </c>
      <c r="O151" s="5">
        <v>5557000000</v>
      </c>
      <c r="P151" s="4">
        <v>3253000000</v>
      </c>
      <c r="Q151" s="4">
        <v>1370000000</v>
      </c>
      <c r="R151" s="4">
        <v>797000000</v>
      </c>
      <c r="S151" s="4">
        <v>137000000</v>
      </c>
    </row>
    <row r="152" spans="1:19" ht="16" x14ac:dyDescent="0.2">
      <c r="A152" s="3" t="s">
        <v>154</v>
      </c>
      <c r="B152" s="4">
        <v>4006000</v>
      </c>
      <c r="C152" s="4">
        <v>61432000</v>
      </c>
      <c r="D152" s="4">
        <v>56303000</v>
      </c>
      <c r="E152" s="4">
        <v>561324000</v>
      </c>
      <c r="F152" s="4">
        <v>622878000</v>
      </c>
      <c r="G152" s="4">
        <v>800554000</v>
      </c>
      <c r="H152" s="4">
        <v>1180961000</v>
      </c>
      <c r="I152" s="4">
        <v>-609240000</v>
      </c>
      <c r="J152" s="4">
        <v>-62778000</v>
      </c>
      <c r="K152" s="4">
        <v>53000000</v>
      </c>
      <c r="L152" s="4">
        <v>-593000000</v>
      </c>
      <c r="M152" s="4">
        <v>-1950000000</v>
      </c>
      <c r="N152" s="4">
        <v>-931000000</v>
      </c>
      <c r="O152" s="5">
        <v>-1475000000</v>
      </c>
      <c r="P152" s="4">
        <v>-197000000</v>
      </c>
      <c r="Q152" s="4">
        <v>-338000000</v>
      </c>
      <c r="R152" s="4">
        <v>-676000000</v>
      </c>
      <c r="S152" s="4">
        <v>-264000000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-127817000</v>
      </c>
      <c r="C154" s="4">
        <v>-114364000</v>
      </c>
      <c r="D154" s="4">
        <v>-234861000</v>
      </c>
      <c r="E154" s="4">
        <v>257994000</v>
      </c>
      <c r="F154" s="4">
        <v>-57337000</v>
      </c>
      <c r="G154" s="4">
        <v>-524499000</v>
      </c>
      <c r="H154" s="4">
        <v>-123829000</v>
      </c>
      <c r="I154" s="4">
        <v>-60654000</v>
      </c>
      <c r="J154" s="4">
        <v>2097802000</v>
      </c>
      <c r="K154" s="4">
        <v>2405000000</v>
      </c>
      <c r="L154" s="4">
        <v>5943000000</v>
      </c>
      <c r="M154" s="4">
        <v>11497000000</v>
      </c>
      <c r="N154" s="4">
        <v>14724000000</v>
      </c>
      <c r="O154" s="5">
        <v>13956000000</v>
      </c>
      <c r="P154" s="4">
        <v>5100000000</v>
      </c>
      <c r="Q154" s="4">
        <v>3278000000</v>
      </c>
      <c r="R154" s="4">
        <v>2513000000</v>
      </c>
      <c r="S154" s="4">
        <v>3065000000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-40203000</v>
      </c>
      <c r="C159" s="4">
        <v>-197896000</v>
      </c>
      <c r="D159" s="4">
        <v>-239228000</v>
      </c>
      <c r="E159" s="4">
        <v>-264224000</v>
      </c>
      <c r="F159" s="4">
        <v>-969885000</v>
      </c>
      <c r="G159" s="4">
        <v>-1634850000</v>
      </c>
      <c r="H159" s="4">
        <v>-159669000</v>
      </c>
      <c r="I159" s="4">
        <v>-666540000</v>
      </c>
      <c r="J159" s="4">
        <v>-218792000</v>
      </c>
      <c r="K159" s="4">
        <v>-110000000</v>
      </c>
      <c r="L159" s="4">
        <v>-3242000000</v>
      </c>
      <c r="M159" s="4">
        <v>-8014000000</v>
      </c>
      <c r="N159" s="4">
        <v>-7172000000</v>
      </c>
      <c r="O159" s="5">
        <v>-5722000000</v>
      </c>
      <c r="P159" s="4">
        <v>-1803000000</v>
      </c>
      <c r="Q159" s="4">
        <v>-1858000000</v>
      </c>
      <c r="R159" s="4">
        <v>-1000000</v>
      </c>
      <c r="S159" s="4">
        <v>-2060000000</v>
      </c>
    </row>
    <row r="160" spans="1:19" ht="16" x14ac:dyDescent="0.2">
      <c r="A160" s="3" t="s">
        <v>162</v>
      </c>
      <c r="B160" s="4">
        <v>-40203000</v>
      </c>
      <c r="C160" s="4">
        <v>-197896000</v>
      </c>
      <c r="D160" s="4">
        <v>-239228000</v>
      </c>
      <c r="E160" s="4">
        <v>-264224000</v>
      </c>
      <c r="F160" s="4">
        <v>-969885000</v>
      </c>
      <c r="G160" s="4">
        <v>-1634850000</v>
      </c>
      <c r="H160" s="4">
        <v>-159669000</v>
      </c>
      <c r="I160" s="4">
        <v>-666540000</v>
      </c>
      <c r="J160" s="4">
        <v>-218792000</v>
      </c>
      <c r="K160" s="4">
        <v>-105000000</v>
      </c>
      <c r="L160" s="4">
        <v>-3232000000</v>
      </c>
      <c r="M160" s="4">
        <v>-6514000000</v>
      </c>
      <c r="N160" s="4">
        <v>-7163000000</v>
      </c>
      <c r="O160" s="5">
        <v>-5722000000</v>
      </c>
      <c r="P160" s="4">
        <v>-1803000000</v>
      </c>
      <c r="Q160" s="4">
        <v>-1858000000</v>
      </c>
      <c r="R160" s="4">
        <v>-1000000</v>
      </c>
      <c r="S160" s="4">
        <v>-2060000000</v>
      </c>
    </row>
    <row r="161" spans="1:19" ht="16" x14ac:dyDescent="0.2">
      <c r="A161" s="3" t="s">
        <v>163</v>
      </c>
      <c r="B161" s="4" t="s">
        <v>24</v>
      </c>
      <c r="C161" s="4" t="s">
        <v>24</v>
      </c>
      <c r="D161" s="4" t="s">
        <v>24</v>
      </c>
      <c r="E161" s="4" t="s">
        <v>24</v>
      </c>
      <c r="F161" s="4" t="s">
        <v>24</v>
      </c>
      <c r="G161" s="4" t="s">
        <v>24</v>
      </c>
      <c r="H161" s="4" t="s">
        <v>24</v>
      </c>
      <c r="I161" s="4" t="s">
        <v>24</v>
      </c>
      <c r="J161" s="4" t="s">
        <v>24</v>
      </c>
      <c r="K161" s="4">
        <v>-5000000</v>
      </c>
      <c r="L161" s="4">
        <v>-10000000</v>
      </c>
      <c r="M161" s="4">
        <v>-1500000000</v>
      </c>
      <c r="N161" s="4">
        <v>-9000000</v>
      </c>
      <c r="O161" s="5" t="s">
        <v>24</v>
      </c>
      <c r="P161" s="4" t="s">
        <v>24</v>
      </c>
      <c r="Q161" s="4" t="s">
        <v>24</v>
      </c>
      <c r="R161" s="4" t="s">
        <v>24</v>
      </c>
      <c r="S161" s="4" t="s">
        <v>24</v>
      </c>
    </row>
    <row r="162" spans="1:19" ht="16" x14ac:dyDescent="0.2">
      <c r="A162" s="3" t="s">
        <v>164</v>
      </c>
      <c r="B162" s="4" t="s">
        <v>24</v>
      </c>
      <c r="C162" s="4">
        <v>-24952000</v>
      </c>
      <c r="D162" s="4">
        <v>25008000</v>
      </c>
      <c r="E162" s="4" t="s">
        <v>24</v>
      </c>
      <c r="F162" s="4">
        <v>-16710000</v>
      </c>
      <c r="G162" s="4" t="s">
        <v>24</v>
      </c>
      <c r="H162" s="4">
        <v>16667000</v>
      </c>
      <c r="I162" s="4" t="s">
        <v>24</v>
      </c>
      <c r="J162" s="4" t="s">
        <v>24</v>
      </c>
      <c r="K162" s="4" t="s">
        <v>24</v>
      </c>
      <c r="L162" s="4" t="s">
        <v>24</v>
      </c>
      <c r="M162" s="4">
        <v>-132000000</v>
      </c>
      <c r="N162" s="4">
        <v>-5813000000</v>
      </c>
      <c r="O162" s="5">
        <v>-7149000000</v>
      </c>
      <c r="P162" s="4">
        <v>-991000000</v>
      </c>
      <c r="Q162" s="4">
        <v>-4349000000</v>
      </c>
      <c r="R162" s="4">
        <v>-411000000</v>
      </c>
      <c r="S162" s="4">
        <v>-1398000000</v>
      </c>
    </row>
    <row r="163" spans="1:19" ht="16" x14ac:dyDescent="0.2">
      <c r="A163" s="3" t="s">
        <v>165</v>
      </c>
      <c r="B163" s="4" t="s">
        <v>24</v>
      </c>
      <c r="C163" s="4">
        <v>40000000</v>
      </c>
      <c r="D163" s="4">
        <v>40000000</v>
      </c>
      <c r="E163" s="4" t="s">
        <v>24</v>
      </c>
      <c r="F163" s="4">
        <v>189131000</v>
      </c>
      <c r="G163" s="4" t="s">
        <v>24</v>
      </c>
      <c r="H163" s="4">
        <v>16667000</v>
      </c>
      <c r="I163" s="4" t="s">
        <v>24</v>
      </c>
      <c r="J163" s="4" t="s">
        <v>24</v>
      </c>
      <c r="K163" s="4" t="s">
        <v>24</v>
      </c>
      <c r="L163" s="4" t="s">
        <v>24</v>
      </c>
      <c r="M163" s="4" t="s">
        <v>24</v>
      </c>
      <c r="N163" s="4">
        <v>22000000</v>
      </c>
      <c r="O163" s="5">
        <v>5300000000</v>
      </c>
      <c r="P163" s="4" t="s">
        <v>24</v>
      </c>
      <c r="Q163" s="4">
        <v>19000000</v>
      </c>
      <c r="R163" s="4">
        <v>1604000000</v>
      </c>
      <c r="S163" s="4">
        <v>3677000000</v>
      </c>
    </row>
    <row r="164" spans="1:19" ht="16" x14ac:dyDescent="0.2">
      <c r="A164" s="3" t="s">
        <v>166</v>
      </c>
      <c r="B164" s="4" t="s">
        <v>24</v>
      </c>
      <c r="C164" s="4">
        <v>-64952000</v>
      </c>
      <c r="D164" s="4">
        <v>-14992000</v>
      </c>
      <c r="E164" s="4" t="s">
        <v>24</v>
      </c>
      <c r="F164" s="4">
        <v>-205841000</v>
      </c>
      <c r="G164" s="4" t="s">
        <v>24</v>
      </c>
      <c r="H164" s="4" t="s">
        <v>24</v>
      </c>
      <c r="I164" s="4" t="s">
        <v>24</v>
      </c>
      <c r="J164" s="4" t="s">
        <v>24</v>
      </c>
      <c r="K164" s="4" t="s">
        <v>24</v>
      </c>
      <c r="L164" s="4" t="s">
        <v>24</v>
      </c>
      <c r="M164" s="4">
        <v>-132000000</v>
      </c>
      <c r="N164" s="4">
        <v>-5835000000</v>
      </c>
      <c r="O164" s="5">
        <v>-12449000000</v>
      </c>
      <c r="P164" s="4">
        <v>-991000000</v>
      </c>
      <c r="Q164" s="4">
        <v>-4368000000</v>
      </c>
      <c r="R164" s="4">
        <v>-2015000000</v>
      </c>
      <c r="S164" s="4">
        <v>-5075000000</v>
      </c>
    </row>
    <row r="165" spans="1:19" ht="16" x14ac:dyDescent="0.2">
      <c r="A165" s="3" t="s">
        <v>167</v>
      </c>
      <c r="B165" s="4" t="s">
        <v>24</v>
      </c>
      <c r="C165" s="4" t="s">
        <v>24</v>
      </c>
      <c r="D165" s="4" t="s">
        <v>24</v>
      </c>
      <c r="E165" s="4" t="s">
        <v>24</v>
      </c>
      <c r="F165" s="4" t="s">
        <v>24</v>
      </c>
      <c r="G165" s="4">
        <v>-12260000</v>
      </c>
      <c r="H165" s="4" t="s">
        <v>24</v>
      </c>
      <c r="I165" s="4">
        <v>-114523000</v>
      </c>
      <c r="J165" s="4">
        <v>-17912000</v>
      </c>
      <c r="K165" s="4">
        <v>-45000000</v>
      </c>
      <c r="L165" s="4">
        <v>-13000000</v>
      </c>
      <c r="M165" s="4" t="s">
        <v>24</v>
      </c>
      <c r="N165" s="4" t="s">
        <v>24</v>
      </c>
      <c r="O165" s="5">
        <v>-76000000</v>
      </c>
      <c r="P165" s="4" t="s">
        <v>24</v>
      </c>
      <c r="Q165" s="4" t="s">
        <v>24</v>
      </c>
      <c r="R165" s="4" t="s">
        <v>24</v>
      </c>
      <c r="S165" s="4">
        <v>-76000000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v>-12260000</v>
      </c>
      <c r="H167" s="4" t="s">
        <v>24</v>
      </c>
      <c r="I167" s="4">
        <v>-114523000</v>
      </c>
      <c r="J167" s="4">
        <v>-17912000</v>
      </c>
      <c r="K167" s="4">
        <v>-45000000</v>
      </c>
      <c r="L167" s="4">
        <v>-13000000</v>
      </c>
      <c r="M167" s="4" t="s">
        <v>24</v>
      </c>
      <c r="N167" s="4" t="s">
        <v>24</v>
      </c>
      <c r="O167" s="5">
        <v>-76000000</v>
      </c>
      <c r="P167" s="4" t="s">
        <v>24</v>
      </c>
      <c r="Q167" s="4" t="s">
        <v>24</v>
      </c>
      <c r="R167" s="4" t="s">
        <v>24</v>
      </c>
      <c r="S167" s="4">
        <v>-76000000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-140094000</v>
      </c>
      <c r="C169" s="4">
        <v>46920000</v>
      </c>
      <c r="D169" s="4">
        <v>-23930000</v>
      </c>
      <c r="E169" s="4">
        <v>14807000</v>
      </c>
      <c r="F169" s="4">
        <v>-3849000</v>
      </c>
      <c r="G169" s="4">
        <v>-26441000</v>
      </c>
      <c r="H169" s="4">
        <v>-1273428000</v>
      </c>
      <c r="I169" s="4">
        <v>-3637904000</v>
      </c>
      <c r="J169" s="4">
        <v>-2100724000</v>
      </c>
      <c r="K169" s="4">
        <v>-1281000000</v>
      </c>
      <c r="L169" s="4">
        <v>123000000</v>
      </c>
      <c r="M169" s="4">
        <v>278000000</v>
      </c>
      <c r="N169" s="4">
        <v>1012000000</v>
      </c>
      <c r="O169" s="5">
        <v>-1993000000</v>
      </c>
      <c r="P169" s="4">
        <v>3000000</v>
      </c>
      <c r="Q169" s="4">
        <v>76000000</v>
      </c>
      <c r="R169" s="4">
        <v>-2072000000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-180297000</v>
      </c>
      <c r="C171" s="4">
        <v>-175928000</v>
      </c>
      <c r="D171" s="4">
        <v>-238150000</v>
      </c>
      <c r="E171" s="4">
        <v>-249417000</v>
      </c>
      <c r="F171" s="4">
        <v>-990444000</v>
      </c>
      <c r="G171" s="4">
        <v>-1673551000</v>
      </c>
      <c r="H171" s="4">
        <v>-1416430000</v>
      </c>
      <c r="I171" s="4">
        <v>-4418967000</v>
      </c>
      <c r="J171" s="4">
        <v>-2337428000</v>
      </c>
      <c r="K171" s="4">
        <v>-1436000000</v>
      </c>
      <c r="L171" s="4">
        <v>-3132000000</v>
      </c>
      <c r="M171" s="4">
        <v>-7868000000</v>
      </c>
      <c r="N171" s="4">
        <v>-11973000000</v>
      </c>
      <c r="O171" s="5">
        <v>-14940000000</v>
      </c>
      <c r="P171" s="4">
        <v>-2791000000</v>
      </c>
      <c r="Q171" s="4">
        <v>-6131000000</v>
      </c>
      <c r="R171" s="4">
        <v>-2484000000</v>
      </c>
      <c r="S171" s="4">
        <v>-3534000000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71513000</v>
      </c>
      <c r="C173" s="4">
        <v>204007000</v>
      </c>
      <c r="D173" s="4">
        <v>173254000</v>
      </c>
      <c r="E173" s="4">
        <v>199238000</v>
      </c>
      <c r="F173" s="4">
        <v>2292092000</v>
      </c>
      <c r="G173" s="4">
        <v>683937000</v>
      </c>
      <c r="H173" s="4">
        <v>-1134774000</v>
      </c>
      <c r="I173" s="4">
        <v>-1053760000</v>
      </c>
      <c r="J173" s="4">
        <v>-5453702000</v>
      </c>
      <c r="K173" s="4">
        <v>10280000000</v>
      </c>
      <c r="L173" s="4">
        <v>-2488000000</v>
      </c>
      <c r="M173" s="4">
        <v>-5732000000</v>
      </c>
      <c r="N173" s="4">
        <v>-3866000000</v>
      </c>
      <c r="O173" s="5">
        <v>-2174000000</v>
      </c>
      <c r="P173" s="4">
        <v>-899000000</v>
      </c>
      <c r="Q173" s="4">
        <v>-497000000</v>
      </c>
      <c r="R173" s="4">
        <v>-421000000</v>
      </c>
      <c r="S173" s="4">
        <v>-357000000</v>
      </c>
    </row>
    <row r="174" spans="1:19" ht="16" x14ac:dyDescent="0.2">
      <c r="A174" s="3" t="s">
        <v>175</v>
      </c>
      <c r="B174" s="4">
        <v>71828000</v>
      </c>
      <c r="C174" s="4">
        <v>204423000</v>
      </c>
      <c r="D174" s="4">
        <v>188796000</v>
      </c>
      <c r="E174" s="4">
        <v>660000000</v>
      </c>
      <c r="F174" s="4">
        <v>2303271000</v>
      </c>
      <c r="G174" s="4">
        <v>887717000</v>
      </c>
      <c r="H174" s="4">
        <v>769709000</v>
      </c>
      <c r="I174" s="4">
        <v>3210028000</v>
      </c>
      <c r="J174" s="4">
        <v>633327000</v>
      </c>
      <c r="K174" s="4">
        <v>10669000000</v>
      </c>
      <c r="L174" s="4">
        <v>9713000000</v>
      </c>
      <c r="M174" s="4">
        <v>8883000000</v>
      </c>
      <c r="N174" s="4" t="s">
        <v>24</v>
      </c>
      <c r="O174" s="5" t="s">
        <v>24</v>
      </c>
      <c r="P174" s="4" t="s">
        <v>24</v>
      </c>
      <c r="Q174" s="4" t="s">
        <v>24</v>
      </c>
      <c r="R174" s="4" t="s">
        <v>24</v>
      </c>
      <c r="S174" s="4" t="s">
        <v>24</v>
      </c>
    </row>
    <row r="175" spans="1:19" ht="16" x14ac:dyDescent="0.2">
      <c r="A175" s="3" t="s">
        <v>176</v>
      </c>
      <c r="B175" s="4">
        <v>-315000</v>
      </c>
      <c r="C175" s="4">
        <v>-416000</v>
      </c>
      <c r="D175" s="4">
        <v>-15542000</v>
      </c>
      <c r="E175" s="4">
        <v>-460762000</v>
      </c>
      <c r="F175" s="4">
        <v>-11179000</v>
      </c>
      <c r="G175" s="4">
        <v>-203780000</v>
      </c>
      <c r="H175" s="4">
        <v>-1904483000</v>
      </c>
      <c r="I175" s="4">
        <v>-4263788000</v>
      </c>
      <c r="J175" s="4">
        <v>-6087029000</v>
      </c>
      <c r="K175" s="4">
        <v>-389000000</v>
      </c>
      <c r="L175" s="4">
        <v>-12201000000</v>
      </c>
      <c r="M175" s="4">
        <v>-14615000000</v>
      </c>
      <c r="N175" s="4">
        <v>-3866000000</v>
      </c>
      <c r="O175" s="5">
        <v>-2174000000</v>
      </c>
      <c r="P175" s="4">
        <v>-899000000</v>
      </c>
      <c r="Q175" s="4">
        <v>-497000000</v>
      </c>
      <c r="R175" s="4">
        <v>-421000000</v>
      </c>
      <c r="S175" s="4">
        <v>-357000000</v>
      </c>
    </row>
    <row r="176" spans="1:19" ht="16" x14ac:dyDescent="0.2">
      <c r="A176" s="3" t="s">
        <v>177</v>
      </c>
      <c r="B176" s="4">
        <v>268842000</v>
      </c>
      <c r="C176" s="4">
        <v>231468000</v>
      </c>
      <c r="D176" s="4">
        <v>221496000</v>
      </c>
      <c r="E176" s="4">
        <v>415000000</v>
      </c>
      <c r="F176" s="4" t="s">
        <v>24</v>
      </c>
      <c r="G176" s="4">
        <v>750000000</v>
      </c>
      <c r="H176" s="4">
        <v>1701734000</v>
      </c>
      <c r="I176" s="4">
        <v>400175000</v>
      </c>
      <c r="J176" s="4" t="s">
        <v>24</v>
      </c>
      <c r="K176" s="4">
        <v>848000000</v>
      </c>
      <c r="L176" s="4">
        <v>12269000000</v>
      </c>
      <c r="M176" s="4" t="s">
        <v>24</v>
      </c>
      <c r="N176" s="4" t="s">
        <v>24</v>
      </c>
      <c r="O176" s="5" t="s">
        <v>24</v>
      </c>
      <c r="P176" s="4" t="s">
        <v>24</v>
      </c>
      <c r="Q176" s="4" t="s">
        <v>24</v>
      </c>
      <c r="R176" s="4" t="s">
        <v>24</v>
      </c>
      <c r="S176" s="4" t="s">
        <v>24</v>
      </c>
    </row>
    <row r="177" spans="1:19" ht="16" x14ac:dyDescent="0.2">
      <c r="A177" s="3" t="s">
        <v>178</v>
      </c>
      <c r="B177" s="4">
        <v>268842000</v>
      </c>
      <c r="C177" s="4">
        <v>231468000</v>
      </c>
      <c r="D177" s="4">
        <v>221496000</v>
      </c>
      <c r="E177" s="4">
        <v>415000000</v>
      </c>
      <c r="F177" s="4" t="s">
        <v>24</v>
      </c>
      <c r="G177" s="4">
        <v>750000000</v>
      </c>
      <c r="H177" s="4">
        <v>1701734000</v>
      </c>
      <c r="I177" s="4">
        <v>400175000</v>
      </c>
      <c r="J177" s="4" t="s">
        <v>24</v>
      </c>
      <c r="K177" s="4">
        <v>848000000</v>
      </c>
      <c r="L177" s="4">
        <v>12269000000</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9" ht="16" x14ac:dyDescent="0.2">
      <c r="A179" s="3" t="s">
        <v>180</v>
      </c>
      <c r="B179" s="4">
        <v>-2310000</v>
      </c>
      <c r="C179" s="4">
        <v>10525000</v>
      </c>
      <c r="D179" s="4">
        <v>24885000</v>
      </c>
      <c r="E179" s="4">
        <v>21184000</v>
      </c>
      <c r="F179" s="4">
        <v>-148962000</v>
      </c>
      <c r="G179" s="4">
        <v>89586000</v>
      </c>
      <c r="H179" s="4">
        <v>3177016000</v>
      </c>
      <c r="I179" s="4">
        <v>5068449000</v>
      </c>
      <c r="J179" s="4">
        <v>6027457000</v>
      </c>
      <c r="K179" s="4">
        <v>-9599000000</v>
      </c>
      <c r="L179" s="4">
        <v>192000000</v>
      </c>
      <c r="M179" s="4">
        <v>529000000</v>
      </c>
      <c r="N179" s="4">
        <v>339000000</v>
      </c>
      <c r="O179" s="5">
        <v>406000000</v>
      </c>
      <c r="P179" s="4">
        <v>187000000</v>
      </c>
      <c r="Q179" s="4">
        <v>2000000</v>
      </c>
      <c r="R179" s="4">
        <v>188000000</v>
      </c>
      <c r="S179" s="4">
        <v>29000000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338045000</v>
      </c>
      <c r="C181" s="4">
        <v>446000000</v>
      </c>
      <c r="D181" s="4">
        <v>419635000</v>
      </c>
      <c r="E181" s="4">
        <v>635422000</v>
      </c>
      <c r="F181" s="4">
        <v>2143130000</v>
      </c>
      <c r="G181" s="4">
        <v>1523523000</v>
      </c>
      <c r="H181" s="4">
        <v>3743976000</v>
      </c>
      <c r="I181" s="4">
        <v>4414864000</v>
      </c>
      <c r="J181" s="4">
        <v>573755000</v>
      </c>
      <c r="K181" s="4">
        <v>1529000000</v>
      </c>
      <c r="L181" s="4">
        <v>9973000000</v>
      </c>
      <c r="M181" s="4">
        <v>-5203000000</v>
      </c>
      <c r="N181" s="4">
        <v>-3527000000</v>
      </c>
      <c r="O181" s="5">
        <v>-1768000000</v>
      </c>
      <c r="P181" s="4">
        <v>-712000000</v>
      </c>
      <c r="Q181" s="4">
        <v>-495000000</v>
      </c>
      <c r="R181" s="4">
        <v>-233000000</v>
      </c>
      <c r="S181" s="4">
        <v>-328000000</v>
      </c>
    </row>
    <row r="182" spans="1:19" ht="16" x14ac:dyDescent="0.2">
      <c r="A182" s="3" t="s">
        <v>182</v>
      </c>
      <c r="B182" s="4" t="s">
        <v>24</v>
      </c>
      <c r="C182" s="4" t="s">
        <v>24</v>
      </c>
      <c r="D182" s="4">
        <v>-2266000</v>
      </c>
      <c r="E182" s="4">
        <v>-6810000</v>
      </c>
      <c r="F182" s="4">
        <v>-35525000</v>
      </c>
      <c r="G182" s="4">
        <v>-34278000</v>
      </c>
      <c r="H182" s="4">
        <v>-7409000</v>
      </c>
      <c r="I182" s="4">
        <v>39455000</v>
      </c>
      <c r="J182" s="4">
        <v>-22700000</v>
      </c>
      <c r="K182" s="4">
        <v>8000000</v>
      </c>
      <c r="L182" s="4">
        <v>334000000</v>
      </c>
      <c r="M182" s="4">
        <v>-183000000</v>
      </c>
      <c r="N182" s="4">
        <v>-444000000</v>
      </c>
      <c r="O182" s="5">
        <v>-256000000</v>
      </c>
      <c r="P182" s="4">
        <v>-335000000</v>
      </c>
      <c r="Q182" s="4">
        <v>123000000</v>
      </c>
      <c r="R182" s="4">
        <v>50000000</v>
      </c>
      <c r="S182" s="4">
        <v>-94000000</v>
      </c>
    </row>
    <row r="183" spans="1:19" ht="16" x14ac:dyDescent="0.2">
      <c r="A183" s="3" t="s">
        <v>183</v>
      </c>
      <c r="B183" s="4">
        <v>29931000</v>
      </c>
      <c r="C183" s="4">
        <v>155708000</v>
      </c>
      <c r="D183" s="4">
        <v>-53376000</v>
      </c>
      <c r="E183" s="4">
        <v>643999000</v>
      </c>
      <c r="F183" s="4">
        <v>1095349000</v>
      </c>
      <c r="G183" s="4">
        <v>-674527000</v>
      </c>
      <c r="H183" s="4">
        <v>2203717000</v>
      </c>
      <c r="I183" s="4">
        <v>-64757000</v>
      </c>
      <c r="J183" s="4">
        <v>334129000</v>
      </c>
      <c r="K183" s="4">
        <v>2498000000</v>
      </c>
      <c r="L183" s="4">
        <v>12784000000</v>
      </c>
      <c r="M183" s="4">
        <v>-1574000000</v>
      </c>
      <c r="N183" s="4">
        <v>-776000000</v>
      </c>
      <c r="O183" s="5">
        <v>-2752000000</v>
      </c>
      <c r="P183" s="4">
        <v>1597000000</v>
      </c>
      <c r="Q183" s="4">
        <v>-3348000000</v>
      </c>
      <c r="R183" s="4">
        <v>-204000000</v>
      </c>
      <c r="S183" s="4">
        <v>-797000000</v>
      </c>
    </row>
    <row r="184" spans="1:19" ht="16" x14ac:dyDescent="0.2">
      <c r="A184" s="3" t="s">
        <v>54</v>
      </c>
      <c r="B184" s="4">
        <v>-136215000</v>
      </c>
      <c r="C184" s="4">
        <v>-234569000</v>
      </c>
      <c r="D184" s="4">
        <v>-365458000</v>
      </c>
      <c r="E184" s="4">
        <v>44800000</v>
      </c>
      <c r="F184" s="4">
        <v>45242000</v>
      </c>
      <c r="G184" s="4">
        <v>-294039000</v>
      </c>
      <c r="H184" s="4">
        <v>279759000</v>
      </c>
      <c r="I184" s="4">
        <v>3917000</v>
      </c>
      <c r="J184" s="4">
        <v>1648210000</v>
      </c>
      <c r="K184" s="4">
        <v>2234000000</v>
      </c>
      <c r="L184" s="4">
        <v>4316000000</v>
      </c>
      <c r="M184" s="4">
        <v>9407000000</v>
      </c>
      <c r="N184" s="4">
        <v>17579000000</v>
      </c>
      <c r="O184" s="5">
        <v>16831000000</v>
      </c>
      <c r="P184" s="4">
        <v>4644000000</v>
      </c>
      <c r="Q184" s="4">
        <v>4924000000</v>
      </c>
      <c r="R184" s="4">
        <v>3710000000</v>
      </c>
      <c r="S184" s="4">
        <v>3553000000</v>
      </c>
    </row>
    <row r="185" spans="1:19" ht="16" x14ac:dyDescent="0.2">
      <c r="A185" s="3" t="s">
        <v>55</v>
      </c>
      <c r="B185" s="6">
        <v>-116.68</v>
      </c>
      <c r="C185" s="6">
        <v>-114.85</v>
      </c>
      <c r="D185" s="6">
        <v>-88.43</v>
      </c>
      <c r="E185" s="6">
        <v>2.2200000000000002</v>
      </c>
      <c r="F185" s="6">
        <v>1.41</v>
      </c>
      <c r="G185" s="6">
        <v>-7.27</v>
      </c>
      <c r="H185" s="4">
        <v>4</v>
      </c>
      <c r="I185" s="6">
        <v>0.03</v>
      </c>
      <c r="J185" s="6">
        <v>7.68</v>
      </c>
      <c r="K185" s="6">
        <v>9.09</v>
      </c>
      <c r="L185" s="6">
        <v>13.69</v>
      </c>
      <c r="M185" s="6">
        <v>17.48</v>
      </c>
      <c r="N185" s="6">
        <v>21.58</v>
      </c>
      <c r="O185" s="7">
        <v>17.899999999999999</v>
      </c>
      <c r="P185" s="6">
        <v>21.53</v>
      </c>
      <c r="Q185" s="6">
        <v>21.58</v>
      </c>
      <c r="R185" s="6">
        <v>19.53</v>
      </c>
      <c r="S185" s="6">
        <v>17.899999999999999</v>
      </c>
    </row>
    <row r="186" spans="1:19" ht="16" x14ac:dyDescent="0.2">
      <c r="A186" s="3" t="s">
        <v>184</v>
      </c>
      <c r="B186" s="4" t="s">
        <v>24</v>
      </c>
      <c r="C186" s="4" t="s">
        <v>24</v>
      </c>
      <c r="D186" s="4" t="s">
        <v>24</v>
      </c>
      <c r="E186" s="4" t="s">
        <v>24</v>
      </c>
      <c r="F186" s="4" t="s">
        <v>24</v>
      </c>
      <c r="G186" s="4">
        <v>12260000</v>
      </c>
      <c r="H186" s="4" t="s">
        <v>24</v>
      </c>
      <c r="I186" s="4">
        <v>114523000</v>
      </c>
      <c r="J186" s="4">
        <v>17912000</v>
      </c>
      <c r="K186" s="4">
        <v>45000000</v>
      </c>
      <c r="L186" s="4">
        <v>13000000</v>
      </c>
      <c r="M186" s="4" t="s">
        <v>24</v>
      </c>
      <c r="N186" s="4" t="s">
        <v>24</v>
      </c>
      <c r="O186" s="5">
        <v>76000000</v>
      </c>
      <c r="P186" s="4" t="s">
        <v>24</v>
      </c>
      <c r="Q186" s="4" t="s">
        <v>24</v>
      </c>
      <c r="R186" s="4" t="s">
        <v>24</v>
      </c>
      <c r="S186" s="4">
        <v>76000000</v>
      </c>
    </row>
    <row r="187" spans="1:19" ht="16" x14ac:dyDescent="0.2">
      <c r="A187" s="3" t="s">
        <v>185</v>
      </c>
      <c r="B187" s="4">
        <v>-168020000</v>
      </c>
      <c r="C187" s="4">
        <v>-312260000</v>
      </c>
      <c r="D187" s="4">
        <v>-474089000</v>
      </c>
      <c r="E187" s="4">
        <v>-6230000</v>
      </c>
      <c r="F187" s="4">
        <v>-1027222000</v>
      </c>
      <c r="G187" s="4">
        <v>-2159349000</v>
      </c>
      <c r="H187" s="4">
        <v>-283498000</v>
      </c>
      <c r="I187" s="4">
        <v>-727194000</v>
      </c>
      <c r="J187" s="4">
        <v>1879010000</v>
      </c>
      <c r="K187" s="4">
        <v>2295000000</v>
      </c>
      <c r="L187" s="4">
        <v>2701000000</v>
      </c>
      <c r="M187" s="4">
        <v>3483000000</v>
      </c>
      <c r="N187" s="4">
        <v>7552000000</v>
      </c>
      <c r="O187" s="5">
        <v>8234000000</v>
      </c>
      <c r="P187" s="4">
        <v>3297000000</v>
      </c>
      <c r="Q187" s="4">
        <v>1420000000</v>
      </c>
      <c r="R187" s="4">
        <v>2512000000</v>
      </c>
      <c r="S187" s="4">
        <v>1005000000</v>
      </c>
    </row>
    <row r="188" spans="1:19" ht="16" x14ac:dyDescent="0.2">
      <c r="A188" s="28" t="s">
        <v>186</v>
      </c>
      <c r="B188" s="26">
        <v>-168020000</v>
      </c>
      <c r="C188" s="26">
        <v>-312260000</v>
      </c>
      <c r="D188" s="26">
        <v>-474089000</v>
      </c>
      <c r="E188" s="26">
        <v>-6230000</v>
      </c>
      <c r="F188" s="26">
        <v>-1027222000</v>
      </c>
      <c r="G188" s="26">
        <v>-2159349000</v>
      </c>
      <c r="H188" s="26">
        <v>-283498000</v>
      </c>
      <c r="I188" s="26">
        <v>-727194000</v>
      </c>
      <c r="J188" s="26">
        <v>1879010000</v>
      </c>
      <c r="K188" s="26">
        <v>2295000000</v>
      </c>
      <c r="L188" s="26">
        <v>3259731369</v>
      </c>
      <c r="M188" s="26">
        <v>3813115718</v>
      </c>
      <c r="N188" s="26">
        <v>7727239959</v>
      </c>
      <c r="O188" s="27">
        <v>8364526580</v>
      </c>
      <c r="P188" s="26">
        <v>3345554180</v>
      </c>
      <c r="Q188" s="26">
        <v>1450713281</v>
      </c>
      <c r="R188" s="26">
        <v>2538296786</v>
      </c>
      <c r="S188" s="26">
        <v>1029920667</v>
      </c>
    </row>
    <row r="189" spans="1:19" ht="16" x14ac:dyDescent="0.2">
      <c r="A189" s="20" t="s">
        <v>199</v>
      </c>
      <c r="B189" s="21"/>
      <c r="C189" s="22">
        <f>(C188/B188)-1</f>
        <v>0.85846922985358876</v>
      </c>
      <c r="D189" s="22">
        <f>(D188/C188)-1</f>
        <v>0.51825081662716976</v>
      </c>
      <c r="E189" s="22">
        <f>(E188/D188)-1</f>
        <v>-0.98685900748593613</v>
      </c>
      <c r="F189" s="22">
        <f t="shared" ref="F189:N189" si="8">(F188/E188)-1</f>
        <v>163.88314606741574</v>
      </c>
      <c r="G189" s="22">
        <f t="shared" si="8"/>
        <v>1.1021249544889029</v>
      </c>
      <c r="H189" s="22">
        <f t="shared" si="8"/>
        <v>-0.86871135698768476</v>
      </c>
      <c r="I189" s="22">
        <f t="shared" si="8"/>
        <v>1.5650762968345457</v>
      </c>
      <c r="J189" s="22">
        <f t="shared" si="8"/>
        <v>-3.5839184591732054</v>
      </c>
      <c r="K189" s="22">
        <f t="shared" si="8"/>
        <v>0.22138785849995468</v>
      </c>
      <c r="L189" s="22">
        <f t="shared" si="8"/>
        <v>0.42036225228758162</v>
      </c>
      <c r="M189" s="22">
        <f t="shared" si="8"/>
        <v>0.16976378920750257</v>
      </c>
      <c r="N189" s="22">
        <f t="shared" si="8"/>
        <v>1.0264897607285257</v>
      </c>
      <c r="O189" s="22">
        <f>(O188/N188)-1</f>
        <v>8.2472735980942957E-2</v>
      </c>
      <c r="P189" s="22"/>
      <c r="Q189" s="22">
        <f>(Q188/P188)-1</f>
        <v>-0.56637579218639345</v>
      </c>
      <c r="R189" s="22">
        <f>(R188/Q188)-1</f>
        <v>0.74968880428964657</v>
      </c>
      <c r="S189" s="22">
        <f>(S188/R188)-1</f>
        <v>-0.5942473422806438</v>
      </c>
    </row>
    <row r="190" spans="1:19" ht="16" x14ac:dyDescent="0.2">
      <c r="A190" s="23" t="s">
        <v>200</v>
      </c>
      <c r="B190" s="24">
        <f t="shared" ref="B190:S190" si="9">B188/B2</f>
        <v>-1.4392174330158296</v>
      </c>
      <c r="C190" s="24">
        <f t="shared" si="9"/>
        <v>-1.5288726119015676</v>
      </c>
      <c r="D190" s="24">
        <f t="shared" si="9"/>
        <v>-1.1472041543256479</v>
      </c>
      <c r="E190" s="24">
        <f t="shared" si="9"/>
        <v>-3.0941208723533594E-3</v>
      </c>
      <c r="F190" s="24">
        <f t="shared" si="9"/>
        <v>-0.32117187705183536</v>
      </c>
      <c r="G190" s="24">
        <f t="shared" si="9"/>
        <v>-0.5336965376379379</v>
      </c>
      <c r="H190" s="24">
        <f t="shared" si="9"/>
        <v>-4.0498950591217421E-2</v>
      </c>
      <c r="I190" s="24">
        <f t="shared" si="9"/>
        <v>-6.1842792657145304E-2</v>
      </c>
      <c r="J190" s="24">
        <f t="shared" si="9"/>
        <v>8.7553540638884902E-2</v>
      </c>
      <c r="K190" s="24">
        <f t="shared" si="9"/>
        <v>9.3376190088697214E-2</v>
      </c>
      <c r="L190" s="24">
        <f t="shared" si="9"/>
        <v>0.10336540363394216</v>
      </c>
      <c r="M190" s="24">
        <f t="shared" si="9"/>
        <v>7.0845469743418238E-2</v>
      </c>
      <c r="N190" s="24">
        <f t="shared" si="9"/>
        <v>9.4856988031229286E-2</v>
      </c>
      <c r="O190" s="25">
        <f t="shared" si="9"/>
        <v>8.8957827242948914E-2</v>
      </c>
      <c r="P190" s="24">
        <f t="shared" si="9"/>
        <v>0.15594081196979584</v>
      </c>
      <c r="Q190" s="24">
        <f t="shared" si="9"/>
        <v>5.9655945431367714E-2</v>
      </c>
      <c r="R190" s="24">
        <f t="shared" si="9"/>
        <v>0.10880435449440611</v>
      </c>
      <c r="S190" s="24">
        <f t="shared" si="9"/>
        <v>4.1317473703213384E-2</v>
      </c>
    </row>
    <row r="191" spans="1:19" ht="16" x14ac:dyDescent="0.2">
      <c r="A191" s="3" t="s">
        <v>187</v>
      </c>
      <c r="B191" s="4">
        <v>-96507000</v>
      </c>
      <c r="C191" s="4">
        <v>-108253000</v>
      </c>
      <c r="D191" s="4">
        <v>-300835000</v>
      </c>
      <c r="E191" s="4">
        <v>193008000</v>
      </c>
      <c r="F191" s="4">
        <v>1264870000</v>
      </c>
      <c r="G191" s="4">
        <v>-1475412000</v>
      </c>
      <c r="H191" s="4">
        <v>-1418272000</v>
      </c>
      <c r="I191" s="4">
        <v>-1780954000</v>
      </c>
      <c r="J191" s="4">
        <v>-3574692000</v>
      </c>
      <c r="K191" s="4">
        <v>12580000000</v>
      </c>
      <c r="L191" s="4">
        <v>223000000</v>
      </c>
      <c r="M191" s="4">
        <v>-749000000</v>
      </c>
      <c r="N191" s="4">
        <v>3695000000</v>
      </c>
      <c r="O191" s="5">
        <v>6060000000</v>
      </c>
      <c r="P191" s="4">
        <v>2398000000</v>
      </c>
      <c r="Q191" s="4">
        <v>923000000</v>
      </c>
      <c r="R191" s="4">
        <v>2091000000</v>
      </c>
      <c r="S191" s="4">
        <v>648000000</v>
      </c>
    </row>
    <row r="192" spans="1:19" ht="16" x14ac:dyDescent="0.2">
      <c r="A192" s="3" t="s">
        <v>188</v>
      </c>
      <c r="B192" s="6">
        <v>-0.22</v>
      </c>
      <c r="C192" s="6">
        <v>-0.21</v>
      </c>
      <c r="D192" s="6">
        <v>-0.28999999999999998</v>
      </c>
      <c r="E192" s="4">
        <v>0</v>
      </c>
      <c r="F192" s="6">
        <v>-0.55000000000000004</v>
      </c>
      <c r="G192" s="6">
        <v>-1.1200000000000001</v>
      </c>
      <c r="H192" s="6">
        <v>-0.13</v>
      </c>
      <c r="I192" s="6">
        <v>-0.28999999999999998</v>
      </c>
      <c r="J192" s="6">
        <v>0.73</v>
      </c>
      <c r="K192" s="6">
        <v>0.86</v>
      </c>
      <c r="L192" s="6">
        <v>0.96</v>
      </c>
      <c r="M192" s="6">
        <v>1.18</v>
      </c>
      <c r="N192" s="6">
        <v>2.41</v>
      </c>
      <c r="O192" s="7">
        <v>2.61</v>
      </c>
      <c r="P192" s="6">
        <v>1.05</v>
      </c>
      <c r="Q192" s="6">
        <v>0.45</v>
      </c>
      <c r="R192" s="6">
        <v>0.79</v>
      </c>
      <c r="S192" s="6">
        <v>0.32</v>
      </c>
    </row>
    <row r="193" spans="1:19" ht="16" x14ac:dyDescent="0.2">
      <c r="A193" s="3" t="s">
        <v>189</v>
      </c>
      <c r="B193" s="6">
        <v>-15.42</v>
      </c>
      <c r="C193" s="6">
        <v>34.32</v>
      </c>
      <c r="D193" s="6">
        <v>832.59</v>
      </c>
      <c r="E193" s="6">
        <v>34.4</v>
      </c>
      <c r="F193" s="6">
        <v>30.35</v>
      </c>
      <c r="G193" s="6">
        <v>27.71</v>
      </c>
      <c r="H193" s="6">
        <v>859.84</v>
      </c>
      <c r="I193" s="6">
        <v>85.3</v>
      </c>
      <c r="J193" s="6">
        <v>24.51</v>
      </c>
      <c r="K193" s="6">
        <v>29.51</v>
      </c>
      <c r="L193" s="6">
        <v>83.21</v>
      </c>
      <c r="M193" s="6">
        <v>61.15</v>
      </c>
      <c r="N193" s="6">
        <v>19.55</v>
      </c>
      <c r="O193" s="7">
        <v>46.18</v>
      </c>
      <c r="P193" s="6">
        <v>45.7</v>
      </c>
      <c r="Q193" s="6">
        <v>21.22</v>
      </c>
      <c r="R193" s="6">
        <v>42.56</v>
      </c>
      <c r="S193" s="6">
        <v>50.83</v>
      </c>
    </row>
    <row r="194" spans="1:19" ht="16" x14ac:dyDescent="0.2">
      <c r="A194" s="3" t="s">
        <v>190</v>
      </c>
      <c r="B194" s="6">
        <v>0.83</v>
      </c>
      <c r="C194" s="6">
        <v>0.45</v>
      </c>
      <c r="D194" s="6">
        <v>0.59</v>
      </c>
      <c r="E194" s="6">
        <v>-3.49</v>
      </c>
      <c r="F194" s="6">
        <v>0.19</v>
      </c>
      <c r="G194" s="6">
        <v>0.59</v>
      </c>
      <c r="H194" s="6">
        <v>0.18</v>
      </c>
      <c r="I194" s="6">
        <v>0.03</v>
      </c>
      <c r="J194" s="6">
        <v>-2.15</v>
      </c>
      <c r="K194" s="6">
        <v>-2.79</v>
      </c>
      <c r="L194" s="6">
        <v>8.61</v>
      </c>
      <c r="M194" s="6">
        <v>2.08</v>
      </c>
      <c r="N194" s="6">
        <v>1.17</v>
      </c>
      <c r="O194" s="7">
        <v>1.1399999999999999</v>
      </c>
      <c r="P194" s="6">
        <v>1.55</v>
      </c>
      <c r="Q194" s="6">
        <v>0.89</v>
      </c>
      <c r="R194" s="4">
        <v>1</v>
      </c>
      <c r="S194" s="6">
        <v>1.1299999999999999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88 L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D250-8B64-2C4A-B9D8-038E5FF5ADFA}">
  <dimension ref="A1:P110"/>
  <sheetViews>
    <sheetView tabSelected="1" workbookViewId="0">
      <selection activeCell="J28" sqref="J28"/>
    </sheetView>
  </sheetViews>
  <sheetFormatPr baseColWidth="10" defaultRowHeight="15" x14ac:dyDescent="0.2"/>
  <cols>
    <col min="1" max="16" width="18.83203125" customWidth="1"/>
  </cols>
  <sheetData>
    <row r="1" spans="1:16" s="114" customFormat="1" ht="22" customHeight="1" x14ac:dyDescent="0.2">
      <c r="A1" s="113" t="e" vm="1">
        <v>#VALUE!</v>
      </c>
      <c r="B1" s="113"/>
      <c r="C1" s="113"/>
      <c r="D1" s="113"/>
      <c r="E1" s="113"/>
      <c r="F1" s="113"/>
      <c r="G1" s="113"/>
      <c r="H1" s="113"/>
      <c r="I1" s="113"/>
      <c r="J1" s="113"/>
      <c r="K1" s="113"/>
      <c r="L1" s="113"/>
      <c r="M1" s="113"/>
      <c r="N1" s="113"/>
      <c r="O1" s="113"/>
      <c r="P1" s="113"/>
    </row>
    <row r="2" spans="1:16" s="114" customFormat="1" ht="22" customHeight="1" x14ac:dyDescent="0.2">
      <c r="A2" s="113"/>
      <c r="B2" s="113"/>
      <c r="C2" s="113"/>
      <c r="D2" s="113"/>
      <c r="E2" s="113"/>
      <c r="F2" s="113"/>
      <c r="G2" s="113"/>
      <c r="H2" s="113"/>
      <c r="I2" s="113"/>
      <c r="J2" s="113"/>
      <c r="K2" s="113"/>
      <c r="L2" s="113"/>
      <c r="M2" s="113"/>
      <c r="N2" s="113"/>
      <c r="O2" s="113"/>
      <c r="P2" s="113"/>
    </row>
    <row r="3" spans="1:16" ht="22" customHeight="1" x14ac:dyDescent="0.2">
      <c r="A3" s="31" cm="1">
        <f t="array" ref="A3">_FV(A1,"Market cap",TRUE)</f>
        <v>667509831580</v>
      </c>
      <c r="B3" s="32" t="s">
        <v>201</v>
      </c>
      <c r="C3" s="33">
        <f>Financials!O8*0.01</f>
        <v>0.21489999999999998</v>
      </c>
      <c r="D3" s="32" t="s">
        <v>202</v>
      </c>
      <c r="E3" s="33">
        <f>SUM(C11:E11)/3</f>
        <v>0.50111045549806821</v>
      </c>
      <c r="F3" s="34" t="s">
        <v>203</v>
      </c>
      <c r="G3" s="35">
        <f>AVERAGE(Financials!K129:O129)</f>
        <v>4.1919530131270123E-2</v>
      </c>
      <c r="H3" s="34" t="s">
        <v>204</v>
      </c>
      <c r="I3" s="36">
        <f>J17*(1+I7)/(I6-I7)</f>
        <v>335738363863.80359</v>
      </c>
      <c r="J3" s="32" t="s">
        <v>205</v>
      </c>
      <c r="K3" s="37">
        <f>(Financials!O172*-1)/Model!A3</f>
        <v>0</v>
      </c>
      <c r="L3" s="34" t="s">
        <v>206</v>
      </c>
      <c r="M3" s="38"/>
      <c r="N3" s="115" t="s">
        <v>207</v>
      </c>
      <c r="O3" s="116"/>
      <c r="P3" s="38"/>
    </row>
    <row r="4" spans="1:16" ht="22" customHeight="1" x14ac:dyDescent="0.2">
      <c r="A4" s="39">
        <f>Financials!O56-Financials!O96-Financials!O105</f>
        <v>28523000000</v>
      </c>
      <c r="B4" s="40" t="s">
        <v>208</v>
      </c>
      <c r="C4" s="41">
        <f>Financials!O17*0.01</f>
        <v>0.13489999999999999</v>
      </c>
      <c r="D4" s="40" t="s">
        <v>209</v>
      </c>
      <c r="E4" s="41">
        <f>SUM(C15:E15)/3</f>
        <v>2.1593429019987735</v>
      </c>
      <c r="F4" s="42" t="s">
        <v>210</v>
      </c>
      <c r="G4" s="43">
        <f>A5*(1+(5*G3))</f>
        <v>3845215373.2221365</v>
      </c>
      <c r="H4" s="44" t="s">
        <v>211</v>
      </c>
      <c r="I4" s="45">
        <f>NPV(I6,F17,G17,H17,I17,(J17+I3))</f>
        <v>241365039853.70773</v>
      </c>
      <c r="J4" s="42" t="s">
        <v>212</v>
      </c>
      <c r="K4" s="46" cm="1">
        <f t="array" ref="K4">_FV(A1,"Change (%)",TRUE)</f>
        <v>-5.4612999999999995E-2</v>
      </c>
      <c r="L4" s="44" t="s">
        <v>213</v>
      </c>
      <c r="M4" s="38"/>
      <c r="N4" s="117" t="s">
        <v>214</v>
      </c>
      <c r="O4" s="118"/>
      <c r="P4" s="38"/>
    </row>
    <row r="5" spans="1:16" ht="22" customHeight="1" x14ac:dyDescent="0.2">
      <c r="A5" s="43" cm="1">
        <f t="array" ref="A5">_FV(A1,"Shares outstanding",TRUE)</f>
        <v>3178921000</v>
      </c>
      <c r="B5" s="40" t="s">
        <v>215</v>
      </c>
      <c r="C5" s="47">
        <f>Financials!O34*0.01</f>
        <v>0.12970000000000001</v>
      </c>
      <c r="D5" s="40" t="s">
        <v>216</v>
      </c>
      <c r="E5" s="41">
        <f>SUM(C18:E18)/3</f>
        <v>0.5388719340745366</v>
      </c>
      <c r="F5" s="42" t="s">
        <v>217</v>
      </c>
      <c r="G5" s="43">
        <f>Financials!O56</f>
        <v>30854000000</v>
      </c>
      <c r="H5" s="44" t="s">
        <v>218</v>
      </c>
      <c r="I5" s="45">
        <f>I4+G5-G6</f>
        <v>269888039853.70773</v>
      </c>
      <c r="J5" s="42" t="s">
        <v>219</v>
      </c>
      <c r="K5" s="48" cm="1">
        <f t="array" ref="K5">_FV(A1,"Price")</f>
        <v>209.98</v>
      </c>
      <c r="L5" s="40" t="s">
        <v>220</v>
      </c>
      <c r="M5" s="38"/>
      <c r="N5" s="49" t="s">
        <v>221</v>
      </c>
      <c r="O5" s="50">
        <f>Financials!O21</f>
        <v>143000000</v>
      </c>
      <c r="P5" s="38"/>
    </row>
    <row r="6" spans="1:16" ht="22" customHeight="1" x14ac:dyDescent="0.2">
      <c r="A6" s="51">
        <f>O20/F10</f>
        <v>6.8724758213903305</v>
      </c>
      <c r="B6" s="40" t="s">
        <v>222</v>
      </c>
      <c r="C6" s="41">
        <f>Financials!O190</f>
        <v>8.8957827242948914E-2</v>
      </c>
      <c r="D6" s="52" t="s">
        <v>200</v>
      </c>
      <c r="E6" s="41">
        <f>Financials!O33/Financials!O126</f>
        <v>0.23370127630217316</v>
      </c>
      <c r="F6" s="40" t="s">
        <v>223</v>
      </c>
      <c r="G6" s="45">
        <f>Financials!O96+Financials!O105</f>
        <v>2331000000</v>
      </c>
      <c r="H6" s="44" t="s">
        <v>224</v>
      </c>
      <c r="I6" s="46">
        <f>N25</f>
        <v>0.13257148686961151</v>
      </c>
      <c r="J6" s="44" t="s">
        <v>225</v>
      </c>
      <c r="K6" s="53">
        <f>I5/G4</f>
        <v>70.188016445890881</v>
      </c>
      <c r="L6" s="54" t="s">
        <v>226</v>
      </c>
      <c r="M6" s="38"/>
      <c r="N6" s="55" t="s">
        <v>227</v>
      </c>
      <c r="O6" s="56">
        <f>Financials!O96</f>
        <v>1459000000</v>
      </c>
      <c r="P6" s="38"/>
    </row>
    <row r="7" spans="1:16" ht="22" customHeight="1" x14ac:dyDescent="0.2">
      <c r="A7" s="57">
        <f>O20/F14</f>
        <v>60.682711961818178</v>
      </c>
      <c r="B7" s="58" t="s">
        <v>228</v>
      </c>
      <c r="C7" s="59">
        <f>F17/A3</f>
        <v>1.1685221147286101E-2</v>
      </c>
      <c r="D7" s="60" t="s">
        <v>229</v>
      </c>
      <c r="E7" s="61">
        <f>(Financials!O16*(1-0.25))/(Financials!O126+Financials!O105+Financials!O96)</f>
        <v>0.174536349127731</v>
      </c>
      <c r="F7" s="58" t="s">
        <v>196</v>
      </c>
      <c r="G7" s="62">
        <f>(Financials!O96+Financials!O105)/Financials!O126</f>
        <v>4.4670576060710593E-2</v>
      </c>
      <c r="H7" s="63" t="s">
        <v>230</v>
      </c>
      <c r="I7" s="64">
        <v>2.5000000000000001E-2</v>
      </c>
      <c r="J7" s="65" t="s">
        <v>231</v>
      </c>
      <c r="K7" s="66">
        <f>K6/K5-1</f>
        <v>-0.6657395159258459</v>
      </c>
      <c r="L7" s="67" t="s">
        <v>232</v>
      </c>
      <c r="M7" s="38"/>
      <c r="N7" s="55" t="s">
        <v>233</v>
      </c>
      <c r="O7" s="56">
        <f>Financials!O105</f>
        <v>872000000</v>
      </c>
      <c r="P7" s="38"/>
    </row>
    <row r="8" spans="1:16" ht="22" customHeight="1" x14ac:dyDescent="0.2">
      <c r="A8" s="68"/>
      <c r="B8" s="38"/>
      <c r="C8" s="38"/>
      <c r="D8" s="38"/>
      <c r="E8" s="38"/>
      <c r="F8" s="38"/>
      <c r="G8" s="38"/>
      <c r="H8" s="38"/>
      <c r="I8" s="38"/>
      <c r="J8" s="38"/>
      <c r="K8" s="38"/>
      <c r="L8" s="38"/>
      <c r="M8" s="38"/>
      <c r="N8" s="69" t="s">
        <v>214</v>
      </c>
      <c r="O8" s="70">
        <f>O5/(O6+O7)</f>
        <v>6.1347061347061346E-2</v>
      </c>
      <c r="P8" s="38"/>
    </row>
    <row r="9" spans="1:16" ht="22" customHeight="1" x14ac:dyDescent="0.2">
      <c r="A9" s="93"/>
      <c r="B9" s="127">
        <v>2019</v>
      </c>
      <c r="C9" s="89">
        <v>2020</v>
      </c>
      <c r="D9" s="89">
        <v>2021</v>
      </c>
      <c r="E9" s="89">
        <v>2022</v>
      </c>
      <c r="F9" s="90">
        <v>2023</v>
      </c>
      <c r="G9" s="91">
        <v>2024</v>
      </c>
      <c r="H9" s="91">
        <v>2025</v>
      </c>
      <c r="I9" s="91">
        <v>2026</v>
      </c>
      <c r="J9" s="92">
        <v>2027</v>
      </c>
      <c r="K9" s="71"/>
      <c r="L9" s="72"/>
      <c r="M9" s="72"/>
      <c r="N9" s="55" t="s">
        <v>234</v>
      </c>
      <c r="O9" s="56">
        <f>Financials!O25</f>
        <v>1165000000</v>
      </c>
      <c r="P9" s="38"/>
    </row>
    <row r="10" spans="1:16" ht="22" customHeight="1" x14ac:dyDescent="0.2">
      <c r="A10" s="94" t="s">
        <v>235</v>
      </c>
      <c r="B10" s="86">
        <v>24578000000</v>
      </c>
      <c r="C10" s="86">
        <v>31536000000</v>
      </c>
      <c r="D10" s="86">
        <v>53823000000</v>
      </c>
      <c r="E10" s="86">
        <v>81462000000</v>
      </c>
      <c r="F10" s="88">
        <v>97128000000</v>
      </c>
      <c r="G10" s="86">
        <v>118800000000</v>
      </c>
      <c r="H10" s="86">
        <v>146000000000</v>
      </c>
      <c r="I10" s="86">
        <v>164500000000</v>
      </c>
      <c r="J10" s="86">
        <v>187600000000</v>
      </c>
      <c r="K10" s="100" t="s">
        <v>236</v>
      </c>
      <c r="L10" s="72"/>
      <c r="N10" s="55" t="s">
        <v>237</v>
      </c>
      <c r="O10" s="56">
        <f>Financials!O24</f>
        <v>13356000000</v>
      </c>
      <c r="P10" s="38"/>
    </row>
    <row r="11" spans="1:16" ht="22" customHeight="1" x14ac:dyDescent="0.2">
      <c r="A11" s="128"/>
      <c r="B11" s="124"/>
      <c r="C11" s="124">
        <f t="shared" ref="C11:J11" si="0">(C10/B10)-1</f>
        <v>0.28309870615998056</v>
      </c>
      <c r="D11" s="124">
        <f t="shared" si="0"/>
        <v>0.70671613394216126</v>
      </c>
      <c r="E11" s="124">
        <f t="shared" si="0"/>
        <v>0.51351652639206291</v>
      </c>
      <c r="F11" s="125">
        <f t="shared" si="0"/>
        <v>0.19231052515283209</v>
      </c>
      <c r="G11" s="124">
        <f t="shared" si="0"/>
        <v>0.223128243143069</v>
      </c>
      <c r="H11" s="124">
        <f t="shared" si="0"/>
        <v>0.22895622895622902</v>
      </c>
      <c r="I11" s="124">
        <f t="shared" si="0"/>
        <v>0.12671232876712324</v>
      </c>
      <c r="J11" s="124">
        <f t="shared" si="0"/>
        <v>0.14042553191489371</v>
      </c>
      <c r="K11" s="126">
        <f>SUM(F11:J11)/5</f>
        <v>0.18230657158682942</v>
      </c>
      <c r="L11" s="72"/>
      <c r="M11" s="72"/>
      <c r="N11" s="55" t="s">
        <v>238</v>
      </c>
      <c r="O11" s="74">
        <f>O9/O10</f>
        <v>8.7226714585205145E-2</v>
      </c>
      <c r="P11" s="38"/>
    </row>
    <row r="12" spans="1:16" ht="22" customHeight="1" x14ac:dyDescent="0.2">
      <c r="A12" s="128" t="s">
        <v>252</v>
      </c>
      <c r="B12" s="129">
        <v>367200</v>
      </c>
      <c r="C12" s="129">
        <v>499000</v>
      </c>
      <c r="D12" s="129">
        <v>935900</v>
      </c>
      <c r="E12" s="130">
        <v>1313000</v>
      </c>
      <c r="F12" s="129">
        <v>1800000</v>
      </c>
      <c r="G12" s="129">
        <v>2100000</v>
      </c>
      <c r="H12" s="129">
        <v>2400000</v>
      </c>
      <c r="I12" s="129">
        <v>2600000</v>
      </c>
      <c r="J12" s="129">
        <v>2900000</v>
      </c>
      <c r="K12" s="131"/>
      <c r="L12" s="72"/>
      <c r="M12" s="72"/>
      <c r="N12" s="75" t="s">
        <v>240</v>
      </c>
      <c r="O12" s="76">
        <f>O8*(1-O11)</f>
        <v>5.5995958736300158E-2</v>
      </c>
      <c r="P12" s="38"/>
    </row>
    <row r="13" spans="1:16" ht="22" customHeight="1" x14ac:dyDescent="0.2">
      <c r="A13" s="107" t="s">
        <v>253</v>
      </c>
      <c r="B13" s="73"/>
      <c r="C13" s="73">
        <f t="shared" ref="C13" si="1">(C12/B12)-1</f>
        <v>0.35893246187363825</v>
      </c>
      <c r="D13" s="73">
        <f t="shared" ref="D13" si="2">(D12/C12)-1</f>
        <v>0.8755511022044089</v>
      </c>
      <c r="E13" s="73">
        <f t="shared" ref="E13:F13" si="3">(E12/D12)-1</f>
        <v>0.40292766321188167</v>
      </c>
      <c r="F13" s="103">
        <f t="shared" si="3"/>
        <v>0.37090632140137081</v>
      </c>
      <c r="G13" s="85">
        <f t="shared" ref="G13" si="4">(G12/F12)-1</f>
        <v>0.16666666666666674</v>
      </c>
      <c r="H13" s="85">
        <f t="shared" ref="H13" si="5">(H12/G12)-1</f>
        <v>0.14285714285714279</v>
      </c>
      <c r="I13" s="85">
        <f t="shared" ref="I13" si="6">(I12/H12)-1</f>
        <v>8.3333333333333259E-2</v>
      </c>
      <c r="J13" s="85">
        <f t="shared" ref="J13" si="7">(J12/I12)-1</f>
        <v>0.11538461538461542</v>
      </c>
      <c r="K13" s="95">
        <f>SUM(F13:J13)/5</f>
        <v>0.17582961592862581</v>
      </c>
      <c r="L13" s="72"/>
      <c r="M13" s="72"/>
      <c r="N13" s="117" t="s">
        <v>241</v>
      </c>
      <c r="O13" s="118"/>
      <c r="P13" s="38"/>
    </row>
    <row r="14" spans="1:16" ht="22" customHeight="1" x14ac:dyDescent="0.2">
      <c r="A14" s="94" t="s">
        <v>142</v>
      </c>
      <c r="B14" s="86">
        <v>-862000000</v>
      </c>
      <c r="C14" s="86">
        <v>690000000</v>
      </c>
      <c r="D14" s="86">
        <v>5519000000</v>
      </c>
      <c r="E14" s="87">
        <v>12583000000</v>
      </c>
      <c r="F14" s="88">
        <v>11000000000</v>
      </c>
      <c r="G14" s="86">
        <v>14045000000</v>
      </c>
      <c r="H14" s="86">
        <v>17583000000</v>
      </c>
      <c r="I14" s="86">
        <v>24634000000</v>
      </c>
      <c r="J14" s="87">
        <v>27045000000</v>
      </c>
      <c r="K14" s="100" t="s">
        <v>239</v>
      </c>
      <c r="L14" s="72"/>
      <c r="M14" s="72"/>
      <c r="N14" s="55" t="s">
        <v>243</v>
      </c>
      <c r="O14" s="74">
        <f>'[1]US Treasury Bonds'!$C$8</f>
        <v>4.5710000000000001E-2</v>
      </c>
      <c r="P14" s="38"/>
    </row>
    <row r="15" spans="1:16" ht="22" customHeight="1" x14ac:dyDescent="0.2">
      <c r="A15" s="123"/>
      <c r="B15" s="124"/>
      <c r="C15" s="124">
        <f t="shared" ref="C15:J15" si="8">(C14/B14)-1</f>
        <v>-1.8004640371229699</v>
      </c>
      <c r="D15" s="124">
        <f t="shared" si="8"/>
        <v>6.9985507246376812</v>
      </c>
      <c r="E15" s="124">
        <f t="shared" si="8"/>
        <v>1.2799420184816088</v>
      </c>
      <c r="F15" s="125">
        <f t="shared" si="8"/>
        <v>-0.12580465707700861</v>
      </c>
      <c r="G15" s="124">
        <f t="shared" si="8"/>
        <v>0.27681818181818185</v>
      </c>
      <c r="H15" s="124">
        <f t="shared" si="8"/>
        <v>0.25190459238163054</v>
      </c>
      <c r="I15" s="124">
        <f t="shared" si="8"/>
        <v>0.40101234146618903</v>
      </c>
      <c r="J15" s="124">
        <f t="shared" si="8"/>
        <v>9.7872858650645433E-2</v>
      </c>
      <c r="K15" s="126">
        <f>SUM(F15:J15)/5</f>
        <v>0.18036066344792764</v>
      </c>
      <c r="L15" s="72"/>
      <c r="M15" s="72"/>
      <c r="N15" s="55" t="s">
        <v>244</v>
      </c>
      <c r="O15" s="77" cm="1">
        <f t="array" ref="O15">_FV(A1,"Beta")</f>
        <v>2.2755000000000001</v>
      </c>
      <c r="P15" s="38"/>
    </row>
    <row r="16" spans="1:16" ht="22" customHeight="1" x14ac:dyDescent="0.2">
      <c r="A16" s="121" t="s">
        <v>254</v>
      </c>
      <c r="B16" s="122">
        <f>B14/B10</f>
        <v>-3.5072015623728539E-2</v>
      </c>
      <c r="C16" s="122">
        <f t="shared" ref="C16:J16" si="9">C14/C10</f>
        <v>2.1879756468797563E-2</v>
      </c>
      <c r="D16" s="122">
        <f t="shared" si="9"/>
        <v>0.10253980640246735</v>
      </c>
      <c r="E16" s="122">
        <f t="shared" si="9"/>
        <v>0.15446465836831896</v>
      </c>
      <c r="F16" s="102">
        <f t="shared" si="9"/>
        <v>0.11325261510583971</v>
      </c>
      <c r="G16" s="122">
        <f t="shared" si="9"/>
        <v>0.11822390572390572</v>
      </c>
      <c r="H16" s="122">
        <f t="shared" si="9"/>
        <v>0.12043150684931507</v>
      </c>
      <c r="I16" s="122">
        <f t="shared" si="9"/>
        <v>0.14975075987841946</v>
      </c>
      <c r="J16" s="122">
        <f t="shared" si="9"/>
        <v>0.14416311300639659</v>
      </c>
      <c r="K16" s="106"/>
      <c r="L16" s="72"/>
      <c r="M16" s="72"/>
      <c r="N16" s="55" t="s">
        <v>245</v>
      </c>
      <c r="O16" s="74">
        <v>8.4000000000000005E-2</v>
      </c>
      <c r="P16" s="38"/>
    </row>
    <row r="17" spans="1:16" ht="22" customHeight="1" x14ac:dyDescent="0.2">
      <c r="A17" s="94" t="s">
        <v>185</v>
      </c>
      <c r="B17" s="86">
        <v>2295000000</v>
      </c>
      <c r="C17" s="86">
        <v>3259731369</v>
      </c>
      <c r="D17" s="86">
        <v>3813115718</v>
      </c>
      <c r="E17" s="86">
        <v>7727239959</v>
      </c>
      <c r="F17" s="88">
        <v>7800000000</v>
      </c>
      <c r="G17" s="86">
        <v>10745000000</v>
      </c>
      <c r="H17" s="86">
        <v>16925000000</v>
      </c>
      <c r="I17" s="86">
        <v>25301000000</v>
      </c>
      <c r="J17" s="86">
        <v>35235000000</v>
      </c>
      <c r="K17" s="100" t="s">
        <v>242</v>
      </c>
      <c r="L17" s="72"/>
      <c r="M17" s="72"/>
      <c r="N17" s="78" t="s">
        <v>241</v>
      </c>
      <c r="O17" s="79">
        <f>(O14)+((O15)*(O16-O14))</f>
        <v>0.13283889500000001</v>
      </c>
      <c r="P17" s="38"/>
    </row>
    <row r="18" spans="1:16" ht="22" customHeight="1" x14ac:dyDescent="0.2">
      <c r="A18" s="123" t="s">
        <v>251</v>
      </c>
      <c r="B18" s="124"/>
      <c r="C18" s="124">
        <f t="shared" ref="C18:J18" si="10">(C17/B17)-1</f>
        <v>0.42036225228758162</v>
      </c>
      <c r="D18" s="124">
        <f t="shared" si="10"/>
        <v>0.16976378920750257</v>
      </c>
      <c r="E18" s="124">
        <f t="shared" si="10"/>
        <v>1.0264897607285257</v>
      </c>
      <c r="F18" s="125">
        <f t="shared" si="10"/>
        <v>9.4160452355638302E-3</v>
      </c>
      <c r="G18" s="124">
        <f t="shared" si="10"/>
        <v>0.37756410256410255</v>
      </c>
      <c r="H18" s="124">
        <f t="shared" si="10"/>
        <v>0.57515123313168925</v>
      </c>
      <c r="I18" s="124">
        <f t="shared" si="10"/>
        <v>0.49488921713441658</v>
      </c>
      <c r="J18" s="124">
        <f t="shared" si="10"/>
        <v>0.39263270226473268</v>
      </c>
      <c r="K18" s="126">
        <f>SUM(F18:J18)/5</f>
        <v>0.36993066006610098</v>
      </c>
      <c r="L18" s="72"/>
      <c r="M18" s="72"/>
      <c r="N18" s="117" t="s">
        <v>246</v>
      </c>
      <c r="O18" s="118"/>
      <c r="P18" s="38"/>
    </row>
    <row r="19" spans="1:16" ht="22" customHeight="1" x14ac:dyDescent="0.2">
      <c r="A19" s="108" t="s">
        <v>200</v>
      </c>
      <c r="B19" s="101">
        <f>B17/B10</f>
        <v>9.3376190088697214E-2</v>
      </c>
      <c r="C19" s="101">
        <f t="shared" ref="C19:J19" si="11">C17/C10</f>
        <v>0.10336540363394216</v>
      </c>
      <c r="D19" s="101">
        <f t="shared" si="11"/>
        <v>7.0845469743418238E-2</v>
      </c>
      <c r="E19" s="101">
        <f t="shared" si="11"/>
        <v>9.4856988031229286E-2</v>
      </c>
      <c r="F19" s="102">
        <f t="shared" si="11"/>
        <v>8.0306399802322709E-2</v>
      </c>
      <c r="G19" s="101">
        <f t="shared" si="11"/>
        <v>9.0446127946127941E-2</v>
      </c>
      <c r="H19" s="101">
        <f t="shared" si="11"/>
        <v>0.11592465753424658</v>
      </c>
      <c r="I19" s="101">
        <f t="shared" si="11"/>
        <v>0.15380547112462006</v>
      </c>
      <c r="J19" s="101">
        <f t="shared" si="11"/>
        <v>0.18781982942430703</v>
      </c>
      <c r="K19" s="106"/>
      <c r="L19" s="72"/>
      <c r="M19" s="72"/>
      <c r="N19" s="55" t="s">
        <v>224</v>
      </c>
      <c r="O19" s="81">
        <f>O6+O7</f>
        <v>2331000000</v>
      </c>
      <c r="P19" s="38"/>
    </row>
    <row r="20" spans="1:16" ht="22" customHeight="1" x14ac:dyDescent="0.2">
      <c r="A20" s="94" t="s">
        <v>196</v>
      </c>
      <c r="B20" s="97">
        <v>2.7869385480050165E-3</v>
      </c>
      <c r="C20" s="97">
        <v>4.222429273250889E-2</v>
      </c>
      <c r="D20" s="97">
        <v>0.12681885623552072</v>
      </c>
      <c r="E20" s="97">
        <v>0.21172724860705758</v>
      </c>
      <c r="F20" s="98"/>
      <c r="G20" s="97"/>
      <c r="H20" s="97"/>
      <c r="I20" s="97"/>
      <c r="J20" s="99"/>
      <c r="K20" s="96"/>
      <c r="L20" s="72"/>
      <c r="M20" s="72"/>
      <c r="N20" s="55" t="s">
        <v>201</v>
      </c>
      <c r="O20" s="81" cm="1">
        <f t="array" ref="O20">_FV(A1,"Market cap",TRUE)</f>
        <v>667509831580</v>
      </c>
      <c r="P20" s="38"/>
    </row>
    <row r="21" spans="1:16" ht="22" customHeight="1" x14ac:dyDescent="0.2">
      <c r="A21" s="104"/>
      <c r="B21" s="104"/>
      <c r="C21" s="104"/>
      <c r="D21" s="104"/>
      <c r="E21" s="104"/>
      <c r="F21" s="105"/>
      <c r="G21" s="105"/>
      <c r="H21" s="105"/>
      <c r="I21" s="105"/>
      <c r="J21" s="105"/>
      <c r="K21" s="105"/>
      <c r="M21" s="72"/>
      <c r="N21" s="55" t="s">
        <v>247</v>
      </c>
      <c r="O21" s="81">
        <f>O19+O20</f>
        <v>669840831580</v>
      </c>
      <c r="P21" s="38"/>
    </row>
    <row r="22" spans="1:16" ht="22" customHeight="1" x14ac:dyDescent="0.2">
      <c r="A22" s="119" t="str" cm="1">
        <f t="array" ref="A22">_FV(A1,"Industry")</f>
        <v>Automobiles &amp; Auto Parts</v>
      </c>
      <c r="B22" s="119"/>
      <c r="C22" s="120" cm="1">
        <f t="array" ref="C22">_FV(A1,"Year incorporated",TRUE)</f>
        <v>2003</v>
      </c>
      <c r="D22" s="120"/>
      <c r="E22" s="80"/>
      <c r="F22" s="72"/>
      <c r="G22" s="72"/>
      <c r="H22" s="72"/>
      <c r="I22" s="72"/>
      <c r="J22" s="72"/>
      <c r="K22" s="72"/>
      <c r="L22" s="72"/>
      <c r="M22" s="72"/>
      <c r="N22" s="69" t="s">
        <v>248</v>
      </c>
      <c r="O22" s="82">
        <f>(O19/O21)</f>
        <v>3.4799311867891192E-3</v>
      </c>
      <c r="P22" s="38"/>
    </row>
    <row r="23" spans="1:16" ht="22" customHeight="1" x14ac:dyDescent="0.2">
      <c r="A23" s="119" t="str" cm="1">
        <f t="array" ref="A23">_FV(A1,"Description")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B23" s="119"/>
      <c r="C23" s="119"/>
      <c r="D23" s="119"/>
      <c r="E23" s="119"/>
      <c r="F23" s="72"/>
      <c r="G23" s="72"/>
      <c r="H23" s="72"/>
      <c r="I23" s="72"/>
      <c r="J23" s="72"/>
      <c r="K23" s="72"/>
      <c r="L23" s="72"/>
      <c r="M23" s="72"/>
      <c r="N23" s="78" t="s">
        <v>249</v>
      </c>
      <c r="O23" s="83">
        <f>O20/O21</f>
        <v>0.99652006881321087</v>
      </c>
      <c r="P23" s="38"/>
    </row>
    <row r="24" spans="1:16" ht="22" customHeight="1" x14ac:dyDescent="0.2">
      <c r="A24" s="119"/>
      <c r="B24" s="119"/>
      <c r="C24" s="119"/>
      <c r="D24" s="119"/>
      <c r="E24" s="119"/>
      <c r="F24" s="72"/>
      <c r="G24" s="72"/>
      <c r="H24" s="72"/>
      <c r="I24" s="72"/>
      <c r="J24" s="72"/>
      <c r="K24" s="72"/>
      <c r="L24" s="72"/>
      <c r="M24" s="72"/>
      <c r="N24" s="109" t="s">
        <v>250</v>
      </c>
      <c r="O24" s="110"/>
      <c r="P24" s="38"/>
    </row>
    <row r="25" spans="1:16" ht="22" customHeight="1" x14ac:dyDescent="0.2">
      <c r="A25" s="119"/>
      <c r="B25" s="119"/>
      <c r="C25" s="119"/>
      <c r="D25" s="119"/>
      <c r="E25" s="119"/>
      <c r="F25" s="72"/>
      <c r="G25" s="72"/>
      <c r="H25" s="72"/>
      <c r="I25" s="72"/>
      <c r="J25" s="72"/>
      <c r="K25" s="72"/>
      <c r="L25" s="72"/>
      <c r="M25" s="72"/>
      <c r="N25" s="111">
        <f>(O22*O12)+(O23*O17)</f>
        <v>0.13257148686961151</v>
      </c>
      <c r="O25" s="112"/>
      <c r="P25" s="38"/>
    </row>
    <row r="26" spans="1:16" ht="22" customHeight="1" x14ac:dyDescent="0.2">
      <c r="A26" s="119"/>
      <c r="B26" s="119"/>
      <c r="C26" s="119"/>
      <c r="D26" s="119"/>
      <c r="E26" s="119"/>
      <c r="F26" s="72"/>
      <c r="G26" s="72"/>
      <c r="H26" s="72"/>
      <c r="I26" s="72"/>
      <c r="J26" s="72"/>
      <c r="K26" s="72"/>
      <c r="L26" s="72"/>
      <c r="M26" s="72"/>
      <c r="N26" s="72"/>
      <c r="O26" s="38"/>
      <c r="P26" s="38"/>
    </row>
    <row r="27" spans="1:16" ht="22" customHeight="1" x14ac:dyDescent="0.2">
      <c r="A27" s="119"/>
      <c r="B27" s="119"/>
      <c r="C27" s="119"/>
      <c r="D27" s="119"/>
      <c r="E27" s="119"/>
      <c r="F27" s="72"/>
      <c r="G27" s="72"/>
      <c r="H27" s="72"/>
      <c r="I27" s="72"/>
      <c r="J27" s="72"/>
      <c r="K27" s="72"/>
      <c r="L27" s="72"/>
      <c r="M27" s="72"/>
      <c r="N27" s="72"/>
      <c r="O27" s="38"/>
      <c r="P27" s="38"/>
    </row>
    <row r="28" spans="1:16" ht="22" customHeight="1" x14ac:dyDescent="0.2">
      <c r="A28" s="119"/>
      <c r="B28" s="119"/>
      <c r="C28" s="119"/>
      <c r="D28" s="119"/>
      <c r="E28" s="119"/>
      <c r="F28" s="72"/>
      <c r="G28" s="72"/>
      <c r="H28" s="72"/>
      <c r="I28" s="72"/>
      <c r="J28" s="72"/>
      <c r="K28" s="72"/>
      <c r="L28" s="72"/>
      <c r="M28" s="72"/>
      <c r="N28" s="72"/>
      <c r="O28" s="38"/>
      <c r="P28" s="38"/>
    </row>
    <row r="29" spans="1:16" ht="22" customHeight="1" x14ac:dyDescent="0.2">
      <c r="A29" s="119"/>
      <c r="B29" s="119"/>
      <c r="C29" s="119"/>
      <c r="D29" s="119"/>
      <c r="E29" s="119"/>
      <c r="F29" s="72"/>
      <c r="G29" s="72"/>
      <c r="H29" s="72"/>
      <c r="I29" s="72"/>
      <c r="J29" s="72"/>
      <c r="K29" s="72"/>
      <c r="L29" s="72"/>
      <c r="M29" s="72"/>
      <c r="N29" s="72"/>
      <c r="O29" s="38"/>
      <c r="P29" s="38"/>
    </row>
    <row r="30" spans="1:16" ht="22" customHeight="1" x14ac:dyDescent="0.2">
      <c r="A30" s="119"/>
      <c r="B30" s="119"/>
      <c r="C30" s="119"/>
      <c r="D30" s="119"/>
      <c r="E30" s="119"/>
      <c r="F30" s="72"/>
      <c r="G30" s="72"/>
      <c r="H30" s="72"/>
      <c r="I30" s="72"/>
      <c r="J30" s="72"/>
      <c r="K30" s="72"/>
      <c r="L30" s="72"/>
      <c r="M30" s="72"/>
      <c r="N30" s="72"/>
      <c r="O30" s="38"/>
      <c r="P30" s="38"/>
    </row>
    <row r="31" spans="1:16" x14ac:dyDescent="0.2">
      <c r="A31" s="84"/>
      <c r="B31" s="84"/>
      <c r="C31" s="84"/>
      <c r="D31" s="84"/>
      <c r="E31" s="84"/>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72"/>
      <c r="B33" s="72"/>
      <c r="C33" s="72"/>
      <c r="D33" s="72"/>
      <c r="E33" s="72"/>
      <c r="F33" s="72"/>
      <c r="G33" s="72"/>
      <c r="H33" s="72"/>
      <c r="I33" s="72"/>
      <c r="J33" s="72"/>
      <c r="K33" s="72"/>
      <c r="L33" s="72"/>
      <c r="M33" s="72"/>
      <c r="N33" s="72"/>
      <c r="O33" s="72"/>
      <c r="P33" s="72"/>
    </row>
    <row r="34" spans="1:16" x14ac:dyDescent="0.2">
      <c r="A34" s="72"/>
      <c r="B34" s="72"/>
      <c r="C34" s="72"/>
      <c r="D34" s="72"/>
      <c r="E34" s="72"/>
      <c r="F34" s="72"/>
      <c r="G34" s="72"/>
      <c r="H34" s="72"/>
      <c r="I34" s="72"/>
      <c r="J34" s="72"/>
      <c r="K34" s="72"/>
      <c r="L34" s="72"/>
      <c r="M34" s="72"/>
      <c r="N34" s="72"/>
      <c r="O34" s="72"/>
      <c r="P34" s="72"/>
    </row>
    <row r="35" spans="1:16" x14ac:dyDescent="0.2">
      <c r="A35" s="72"/>
      <c r="B35" s="72"/>
      <c r="C35" s="72"/>
      <c r="D35" s="72"/>
      <c r="E35" s="72"/>
      <c r="F35" s="72"/>
      <c r="G35" s="72"/>
      <c r="H35" s="72"/>
      <c r="I35" s="72"/>
      <c r="J35" s="72"/>
      <c r="K35" s="72"/>
      <c r="L35" s="72"/>
      <c r="M35" s="72"/>
      <c r="N35" s="72"/>
      <c r="O35" s="72"/>
      <c r="P35" s="72"/>
    </row>
    <row r="36" spans="1:16" x14ac:dyDescent="0.2">
      <c r="A36" s="72"/>
      <c r="B36" s="72"/>
      <c r="C36" s="72"/>
      <c r="D36" s="72"/>
      <c r="E36" s="72"/>
      <c r="F36" s="72"/>
      <c r="G36" s="72"/>
      <c r="H36" s="72"/>
      <c r="I36" s="72"/>
      <c r="J36" s="72"/>
      <c r="K36" s="72"/>
      <c r="L36" s="72"/>
      <c r="M36" s="72"/>
      <c r="N36" s="72"/>
      <c r="O36" s="72"/>
      <c r="P36" s="72"/>
    </row>
    <row r="37" spans="1:16" x14ac:dyDescent="0.2">
      <c r="A37" s="72"/>
      <c r="B37" s="72"/>
      <c r="C37" s="72"/>
      <c r="D37" s="72"/>
      <c r="E37" s="72"/>
      <c r="F37" s="72"/>
      <c r="G37" s="72"/>
      <c r="H37" s="72"/>
      <c r="I37" s="72"/>
      <c r="J37" s="72"/>
      <c r="K37" s="72"/>
      <c r="L37" s="72"/>
      <c r="M37" s="72"/>
      <c r="N37" s="72"/>
      <c r="O37" s="72"/>
      <c r="P37" s="72"/>
    </row>
    <row r="38" spans="1:16" x14ac:dyDescent="0.2">
      <c r="A38" s="72"/>
      <c r="B38" s="72"/>
      <c r="C38" s="72"/>
      <c r="D38" s="72"/>
      <c r="E38" s="72"/>
      <c r="F38" s="72"/>
      <c r="G38" s="72"/>
      <c r="H38" s="72"/>
      <c r="I38" s="72"/>
      <c r="J38" s="72"/>
      <c r="K38" s="72"/>
      <c r="L38" s="72"/>
      <c r="M38" s="72"/>
      <c r="N38" s="72"/>
      <c r="O38" s="72"/>
      <c r="P38" s="72"/>
    </row>
    <row r="39" spans="1:16" x14ac:dyDescent="0.2">
      <c r="A39" s="72"/>
      <c r="B39" s="72"/>
      <c r="C39" s="72"/>
      <c r="D39" s="72"/>
      <c r="E39" s="72"/>
      <c r="F39" s="72"/>
      <c r="G39" s="72"/>
      <c r="H39" s="72"/>
      <c r="I39" s="72"/>
      <c r="J39" s="72"/>
      <c r="K39" s="72"/>
      <c r="L39" s="72"/>
      <c r="M39" s="72"/>
      <c r="N39" s="72"/>
      <c r="O39" s="72"/>
      <c r="P39" s="72"/>
    </row>
    <row r="40" spans="1:16" x14ac:dyDescent="0.2">
      <c r="A40" s="72"/>
      <c r="B40" s="72"/>
      <c r="C40" s="72"/>
      <c r="D40" s="72"/>
      <c r="E40" s="72"/>
      <c r="F40" s="72"/>
      <c r="G40" s="72"/>
      <c r="H40" s="72"/>
      <c r="I40" s="72"/>
      <c r="J40" s="72"/>
      <c r="K40" s="72"/>
      <c r="L40" s="72"/>
      <c r="M40" s="72"/>
      <c r="N40" s="72"/>
      <c r="O40" s="72"/>
      <c r="P40" s="72"/>
    </row>
    <row r="41" spans="1:16" x14ac:dyDescent="0.2">
      <c r="A41" s="72"/>
      <c r="B41" s="72"/>
      <c r="C41" s="72"/>
      <c r="D41" s="72"/>
      <c r="E41" s="72"/>
      <c r="F41" s="72"/>
      <c r="G41" s="72"/>
      <c r="H41" s="72"/>
      <c r="I41" s="72"/>
      <c r="J41" s="72"/>
      <c r="K41" s="72"/>
      <c r="L41" s="72"/>
      <c r="M41" s="72"/>
      <c r="N41" s="72"/>
      <c r="O41" s="72"/>
      <c r="P41" s="72"/>
    </row>
    <row r="42" spans="1:16" x14ac:dyDescent="0.2">
      <c r="A42" s="72"/>
      <c r="B42" s="72"/>
      <c r="C42" s="72"/>
      <c r="D42" s="72"/>
      <c r="E42" s="72"/>
      <c r="F42" s="72"/>
      <c r="G42" s="72"/>
      <c r="H42" s="72"/>
      <c r="I42" s="72"/>
      <c r="J42" s="72"/>
      <c r="K42" s="72"/>
      <c r="L42" s="72"/>
      <c r="M42" s="72"/>
      <c r="N42" s="72"/>
      <c r="O42" s="72"/>
      <c r="P42" s="72"/>
    </row>
    <row r="43" spans="1:16" x14ac:dyDescent="0.2">
      <c r="A43" s="72"/>
      <c r="B43" s="72"/>
      <c r="C43" s="72"/>
      <c r="D43" s="72"/>
      <c r="E43" s="72"/>
      <c r="F43" s="72"/>
      <c r="G43" s="72"/>
      <c r="H43" s="72"/>
      <c r="I43" s="72"/>
      <c r="J43" s="72"/>
      <c r="K43" s="72"/>
      <c r="L43" s="72"/>
      <c r="M43" s="72"/>
      <c r="N43" s="72"/>
      <c r="O43" s="72"/>
      <c r="P43" s="72"/>
    </row>
    <row r="44" spans="1:16" x14ac:dyDescent="0.2">
      <c r="A44" s="72"/>
      <c r="B44" s="72"/>
      <c r="C44" s="72"/>
      <c r="D44" s="72"/>
      <c r="E44" s="72"/>
      <c r="F44" s="72"/>
      <c r="G44" s="72"/>
      <c r="H44" s="72"/>
      <c r="I44" s="72"/>
      <c r="J44" s="72"/>
      <c r="K44" s="72"/>
      <c r="L44" s="72"/>
      <c r="M44" s="72"/>
      <c r="N44" s="72"/>
      <c r="O44" s="72"/>
      <c r="P44" s="72"/>
    </row>
    <row r="45" spans="1:16" x14ac:dyDescent="0.2">
      <c r="A45" s="72"/>
      <c r="B45" s="72"/>
      <c r="C45" s="72"/>
      <c r="D45" s="72"/>
      <c r="E45" s="72"/>
      <c r="F45" s="72"/>
      <c r="G45" s="72"/>
      <c r="H45" s="72"/>
      <c r="I45" s="72"/>
      <c r="J45" s="72"/>
      <c r="K45" s="72"/>
      <c r="L45" s="72"/>
      <c r="M45" s="72"/>
      <c r="N45" s="72"/>
      <c r="O45" s="72"/>
      <c r="P45" s="72"/>
    </row>
    <row r="46" spans="1:16" x14ac:dyDescent="0.2">
      <c r="A46" s="72"/>
      <c r="B46" s="72"/>
      <c r="C46" s="72"/>
      <c r="D46" s="72"/>
      <c r="E46" s="72"/>
      <c r="F46" s="72"/>
      <c r="G46" s="72"/>
      <c r="H46" s="72"/>
      <c r="I46" s="72"/>
      <c r="J46" s="72"/>
      <c r="K46" s="72"/>
      <c r="L46" s="72"/>
      <c r="M46" s="72"/>
      <c r="N46" s="72"/>
      <c r="O46" s="72"/>
      <c r="P46" s="72"/>
    </row>
    <row r="47" spans="1:16" x14ac:dyDescent="0.2">
      <c r="A47" s="72"/>
      <c r="B47" s="72"/>
      <c r="C47" s="72"/>
      <c r="D47" s="72"/>
      <c r="E47" s="72"/>
      <c r="F47" s="72"/>
      <c r="G47" s="72"/>
      <c r="H47" s="72"/>
      <c r="I47" s="72"/>
      <c r="J47" s="72"/>
      <c r="K47" s="72"/>
      <c r="L47" s="72"/>
      <c r="M47" s="72"/>
      <c r="N47" s="72"/>
      <c r="O47" s="72"/>
      <c r="P47" s="72"/>
    </row>
    <row r="48" spans="1:16" x14ac:dyDescent="0.2">
      <c r="A48" s="72"/>
      <c r="B48" s="72"/>
      <c r="C48" s="72"/>
      <c r="D48" s="72"/>
      <c r="E48" s="72"/>
      <c r="F48" s="72"/>
      <c r="G48" s="72"/>
      <c r="H48" s="72"/>
      <c r="I48" s="72"/>
      <c r="J48" s="72"/>
      <c r="K48" s="72"/>
      <c r="L48" s="72"/>
      <c r="M48" s="72"/>
      <c r="N48" s="72"/>
      <c r="O48" s="72"/>
      <c r="P48" s="72"/>
    </row>
    <row r="49" spans="1:16" x14ac:dyDescent="0.2">
      <c r="A49" s="72"/>
      <c r="B49" s="72"/>
      <c r="C49" s="72"/>
      <c r="D49" s="72"/>
      <c r="E49" s="72"/>
      <c r="F49" s="72"/>
      <c r="G49" s="72"/>
      <c r="H49" s="72"/>
      <c r="I49" s="72"/>
      <c r="J49" s="72"/>
      <c r="K49" s="72"/>
      <c r="L49" s="72"/>
      <c r="M49" s="72"/>
      <c r="N49" s="72"/>
      <c r="O49" s="72"/>
      <c r="P49" s="72"/>
    </row>
    <row r="50" spans="1:16" x14ac:dyDescent="0.2">
      <c r="A50" s="72"/>
      <c r="B50" s="72"/>
      <c r="C50" s="72"/>
      <c r="D50" s="72"/>
      <c r="E50" s="72"/>
      <c r="F50" s="72"/>
      <c r="G50" s="72"/>
      <c r="H50" s="72"/>
      <c r="I50" s="72"/>
      <c r="J50" s="72"/>
      <c r="K50" s="72"/>
      <c r="L50" s="72"/>
      <c r="M50" s="72"/>
      <c r="N50" s="72"/>
      <c r="O50" s="72"/>
      <c r="P50" s="72"/>
    </row>
    <row r="51" spans="1:16" x14ac:dyDescent="0.2">
      <c r="A51" s="72"/>
      <c r="B51" s="72"/>
      <c r="C51" s="72"/>
      <c r="D51" s="72"/>
      <c r="E51" s="72"/>
      <c r="F51" s="72"/>
      <c r="G51" s="72"/>
      <c r="H51" s="72"/>
      <c r="I51" s="72"/>
      <c r="J51" s="72"/>
      <c r="K51" s="72"/>
      <c r="L51" s="72"/>
      <c r="M51" s="72"/>
      <c r="N51" s="72"/>
      <c r="O51" s="72"/>
      <c r="P51" s="72"/>
    </row>
    <row r="52" spans="1:16" x14ac:dyDescent="0.2">
      <c r="A52" s="72"/>
      <c r="B52" s="72"/>
      <c r="C52" s="72"/>
      <c r="D52" s="72"/>
      <c r="E52" s="72"/>
      <c r="F52" s="72"/>
      <c r="G52" s="72"/>
      <c r="H52" s="72"/>
      <c r="I52" s="72"/>
      <c r="J52" s="72"/>
      <c r="K52" s="72"/>
      <c r="L52" s="72"/>
      <c r="M52" s="72"/>
      <c r="N52" s="72"/>
      <c r="O52" s="72"/>
      <c r="P52" s="72"/>
    </row>
    <row r="53" spans="1:16" x14ac:dyDescent="0.2">
      <c r="A53" s="72"/>
      <c r="B53" s="72"/>
      <c r="C53" s="72"/>
      <c r="D53" s="72"/>
      <c r="E53" s="72"/>
      <c r="F53" s="72"/>
      <c r="G53" s="72"/>
      <c r="H53" s="72"/>
      <c r="I53" s="72"/>
      <c r="J53" s="72"/>
      <c r="K53" s="72"/>
      <c r="L53" s="72"/>
      <c r="M53" s="72"/>
      <c r="N53" s="72"/>
      <c r="O53" s="72"/>
      <c r="P53" s="72"/>
    </row>
    <row r="54" spans="1:16" x14ac:dyDescent="0.2">
      <c r="A54" s="72"/>
      <c r="B54" s="72"/>
      <c r="C54" s="72"/>
      <c r="D54" s="72"/>
      <c r="E54" s="72"/>
      <c r="F54" s="72"/>
      <c r="G54" s="72"/>
      <c r="H54" s="72"/>
      <c r="I54" s="72"/>
      <c r="J54" s="72"/>
      <c r="K54" s="72"/>
      <c r="L54" s="72"/>
      <c r="M54" s="72"/>
      <c r="N54" s="72"/>
      <c r="O54" s="72"/>
      <c r="P54" s="72"/>
    </row>
    <row r="55" spans="1:16" x14ac:dyDescent="0.2">
      <c r="A55" s="72"/>
      <c r="B55" s="72"/>
      <c r="C55" s="72"/>
      <c r="D55" s="72"/>
      <c r="E55" s="72"/>
      <c r="F55" s="72"/>
      <c r="G55" s="72"/>
      <c r="H55" s="72"/>
      <c r="I55" s="72"/>
      <c r="J55" s="72"/>
      <c r="K55" s="72"/>
      <c r="L55" s="72"/>
      <c r="M55" s="72"/>
      <c r="N55" s="72"/>
      <c r="O55" s="72"/>
      <c r="P55" s="72"/>
    </row>
    <row r="56" spans="1:16" x14ac:dyDescent="0.2">
      <c r="A56" s="72"/>
      <c r="B56" s="72"/>
      <c r="C56" s="72"/>
      <c r="D56" s="72"/>
      <c r="E56" s="72"/>
      <c r="F56" s="72"/>
      <c r="G56" s="72"/>
      <c r="H56" s="72"/>
      <c r="I56" s="72"/>
      <c r="J56" s="72"/>
      <c r="K56" s="72"/>
      <c r="L56" s="72"/>
      <c r="M56" s="72"/>
      <c r="N56" s="72"/>
      <c r="O56" s="72"/>
      <c r="P56" s="72"/>
    </row>
    <row r="57" spans="1:16" x14ac:dyDescent="0.2">
      <c r="A57" s="72"/>
      <c r="B57" s="72"/>
      <c r="C57" s="72"/>
      <c r="D57" s="72"/>
      <c r="E57" s="72"/>
      <c r="F57" s="72"/>
      <c r="G57" s="72"/>
      <c r="H57" s="72"/>
      <c r="I57" s="72"/>
      <c r="J57" s="72"/>
      <c r="K57" s="72"/>
      <c r="L57" s="72"/>
      <c r="M57" s="72"/>
      <c r="N57" s="72"/>
      <c r="O57" s="72"/>
      <c r="P57" s="72"/>
    </row>
    <row r="58" spans="1:16" x14ac:dyDescent="0.2">
      <c r="A58" s="72"/>
      <c r="B58" s="72"/>
      <c r="C58" s="72"/>
      <c r="D58" s="72"/>
      <c r="E58" s="72"/>
      <c r="F58" s="72"/>
      <c r="G58" s="72"/>
      <c r="H58" s="72"/>
      <c r="I58" s="72"/>
      <c r="J58" s="72"/>
      <c r="K58" s="72"/>
      <c r="L58" s="72"/>
      <c r="M58" s="72"/>
      <c r="N58" s="72"/>
      <c r="O58" s="72"/>
      <c r="P58" s="72"/>
    </row>
    <row r="59" spans="1:16" x14ac:dyDescent="0.2">
      <c r="A59" s="72"/>
      <c r="B59" s="72"/>
      <c r="C59" s="72"/>
      <c r="D59" s="72"/>
      <c r="E59" s="72"/>
      <c r="F59" s="72"/>
      <c r="G59" s="72"/>
      <c r="H59" s="72"/>
      <c r="I59" s="72"/>
      <c r="J59" s="72"/>
      <c r="K59" s="72"/>
      <c r="L59" s="72"/>
      <c r="M59" s="72"/>
      <c r="N59" s="72"/>
      <c r="O59" s="72"/>
      <c r="P59" s="72"/>
    </row>
    <row r="60" spans="1:16" x14ac:dyDescent="0.2">
      <c r="A60" s="72"/>
      <c r="B60" s="72"/>
      <c r="C60" s="72"/>
      <c r="D60" s="72"/>
      <c r="E60" s="72"/>
      <c r="F60" s="72"/>
      <c r="G60" s="72"/>
      <c r="H60" s="72"/>
      <c r="I60" s="72"/>
      <c r="J60" s="72"/>
      <c r="K60" s="72"/>
      <c r="L60" s="72"/>
      <c r="M60" s="72"/>
      <c r="N60" s="72"/>
      <c r="O60" s="72"/>
      <c r="P60" s="72"/>
    </row>
    <row r="61" spans="1:16" x14ac:dyDescent="0.2">
      <c r="A61" s="72"/>
      <c r="B61" s="72"/>
      <c r="C61" s="72"/>
      <c r="D61" s="72"/>
      <c r="E61" s="72"/>
      <c r="F61" s="72"/>
      <c r="G61" s="72"/>
      <c r="H61" s="72"/>
      <c r="I61" s="72"/>
      <c r="J61" s="72"/>
      <c r="K61" s="72"/>
      <c r="L61" s="72"/>
      <c r="M61" s="72"/>
      <c r="N61" s="72"/>
      <c r="O61" s="72"/>
      <c r="P61" s="72"/>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2:B22"/>
    <mergeCell ref="C22:D22"/>
    <mergeCell ref="A23:E30"/>
  </mergeCells>
  <hyperlinks>
    <hyperlink ref="F9" r:id="rId1" display="https://finbox.com/NASDAQGS:TSLA/explorer/revenue_proj" xr:uid="{1CA61239-9D23-BF4F-8652-D3CAB43F6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2023-11-09T23:22:06Z</dcterms:modified>
</cp:coreProperties>
</file>