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B88FDF3C-FE8A-A04B-A22C-114CA636990B}"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O14" i="2" l="1"/>
  <c r="K4" i="2" a="1"/>
  <c r="K4" i="2" s="1"/>
  <c r="G3" i="2" l="1"/>
  <c r="O10" i="2"/>
  <c r="O9" i="2"/>
  <c r="O7" i="2"/>
  <c r="G7" i="2"/>
  <c r="E7" i="2"/>
  <c r="O6" i="2"/>
  <c r="O19" i="2" s="1"/>
  <c r="G6" i="2"/>
  <c r="E6" i="2"/>
  <c r="C6" i="2"/>
  <c r="O5" i="2"/>
  <c r="G5" i="2"/>
  <c r="C5" i="2"/>
  <c r="C4" i="2"/>
  <c r="A4" i="2"/>
  <c r="C3" i="2"/>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K5" i="2" a="1"/>
  <c r="K5" i="2" s="1"/>
  <c r="A5" i="2" a="1"/>
  <c r="A5" i="2" s="1"/>
  <c r="E4" i="2"/>
  <c r="E3" i="2"/>
  <c r="A3" i="2" a="1"/>
  <c r="A3" i="2" s="1"/>
  <c r="I3" i="1"/>
  <c r="I18" i="1"/>
  <c r="I35" i="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K3" i="2" l="1"/>
  <c r="K16" i="2"/>
  <c r="K13" i="2"/>
  <c r="K11" i="2"/>
  <c r="E5" i="2"/>
  <c r="O8" i="2"/>
  <c r="G4" i="2"/>
  <c r="O12" i="2"/>
  <c r="O20" i="2"/>
  <c r="O21" i="2" s="1"/>
  <c r="O22" i="2" s="1"/>
  <c r="C7" i="2"/>
  <c r="O23" i="2" l="1"/>
  <c r="A6" i="2"/>
  <c r="A7"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<sst xmlns="http://schemas.openxmlformats.org/spreadsheetml/2006/main" count="875" uniqueCount="244">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</sst>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3" fontId="4" fillId="4" borderId="0" xfId="0" applyNumberFormat="1" applyFont="1" applyFill="1"/>
    <xf numFmtId="0" fontId="12" fillId="12" borderId="1" xfId="0" applyFont="1" applyFill="1" applyBorder="1" applyAlignment="1">
      <alignment horizontal="left" vertical="center" wrapText="1"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9" fontId="22" fillId="11" borderId="5" xfId="1" applyFont="1" applyFill="1" applyBorder="1" applyAlignment="1">
      <alignment horizontal="left" vertical="center" indent="2"/>
    </xf>
    <xf numFmtId="0" fontId="23" fillId="11" borderId="5" xfId="0" applyFont="1" applyFill="1" applyBorder="1" applyAlignment="1">
      <alignment horizontal="left" vertical="center" indent="1"/>
    </xf>
    <xf numFmtId="9" fontId="13" fillId="10" borderId="11" xfId="1" applyFont="1" applyFill="1" applyBorder="1" applyAlignment="1">
      <alignment horizontal="left" vertical="center" indent="2"/>
    </xf>
    <xf numFmtId="9" fontId="4" fillId="10" borderId="12" xfId="1" applyFont="1" applyFill="1" applyBorder="1" applyAlignment="1">
      <alignment horizontal="right" vertical="center" indent="1"/>
    </xf>
    <xf numFmtId="9" fontId="4" fillId="10" borderId="11" xfId="1"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0" fontId="20" fillId="14" borderId="1" xfId="0" applyFont="1" applyFill="1" applyBorder="1" applyAlignment="1">
      <alignment horizontal="right" vertical="center" indent="1"/>
    </xf>
    <xf numFmtId="0" fontId="3" fillId="9" borderId="9" xfId="0" applyFont="1" applyFill="1" applyBorder="1" applyAlignment="1">
      <alignment horizontal="right" vertical="center"/>
    </xf>
    <xf numFmtId="0" fontId="13" fillId="9" borderId="10" xfId="0" applyFont="1" applyFill="1" applyBorder="1" applyAlignment="1">
      <alignment horizontal="right" vertical="center" indent="1"/>
    </xf>
    <xf numFmtId="0" fontId="13" fillId="9" borderId="13" xfId="0"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4" fillId="11" borderId="14" xfId="1" applyFont="1" applyFill="1" applyBorder="1" applyAlignment="1">
      <alignment horizontal="right" vertical="center" indent="1"/>
    </xf>
    <xf numFmtId="164" fontId="12" fillId="10" borderId="8" xfId="0" applyNumberFormat="1" applyFont="1" applyFill="1" applyBorder="1" applyAlignment="1">
      <alignment horizontal="right" vertical="center"/>
    </xf>
    <xf numFmtId="9" fontId="4" fillId="10" borderId="15" xfId="1" applyFont="1" applyFill="1" applyBorder="1" applyAlignment="1">
      <alignment horizontal="right" vertical="center"/>
    </xf>
    <xf numFmtId="0" fontId="21" fillId="14" borderId="1" xfId="0" applyFont="1" applyFill="1" applyBorder="1" applyAlignment="1">
      <alignment horizontal="right" vertical="center" indent="1"/>
    </xf>
    <xf numFmtId="0" fontId="21" fillId="14" borderId="14" xfId="0" applyFont="1" applyFill="1" applyBorder="1" applyAlignment="1">
      <alignment horizontal="right" vertical="center" indent="1"/>
    </xf>
    <xf numFmtId="9" fontId="4" fillId="10" borderId="15" xfId="1" applyFont="1" applyFill="1" applyBorder="1" applyAlignment="1">
      <alignment horizontal="right" vertical="center" indent="1"/>
    </xf>
    <xf numFmtId="9" fontId="4" fillId="12" borderId="5" xfId="1" applyFont="1" applyFill="1" applyBorder="1" applyAlignment="1">
      <alignment horizontal="left" indent="1"/>
    </xf>
    <xf numFmtId="0" fontId="12" fillId="10" borderId="14" xfId="1" applyNumberFormat="1" applyFont="1" applyFill="1" applyBorder="1" applyAlignment="1">
      <alignment horizontal="left" vertical="center" indent="1"/>
    </xf>
    <xf numFmtId="9" fontId="12" fillId="10" borderId="14" xfId="1" applyFont="1" applyFill="1" applyBorder="1" applyAlignment="1">
      <alignment horizontal="left" vertical="center" indent="1"/>
    </xf>
    <xf numFmtId="165" fontId="4" fillId="9" borderId="1" xfId="1" applyNumberFormat="1" applyFont="1" applyFill="1" applyBorder="1" applyAlignment="1">
      <alignment horizontal="right" vertical="center" indent="1"/>
    </xf>
    <xf numFmtId="166" fontId="4" fillId="9" borderId="1"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164" fontId="4" fillId="9" borderId="14" xfId="0" applyNumberFormat="1" applyFont="1" applyFill="1" applyBorder="1" applyAlignment="1">
      <alignment horizontal="right" vertical="center" indent="1"/>
    </xf>
    <xf numFmtId="0" fontId="14" fillId="11" borderId="5" xfId="0" applyFont="1" applyFill="1" applyBorder="1" applyAlignment="1">
      <alignment horizontal="left" vertical="center" wrapText="1"/>
    </xf>
    <xf numFmtId="164" fontId="15" fillId="11" borderId="14"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4" xfId="0" applyNumberFormat="1" applyFont="1" applyFill="1" applyBorder="1" applyAlignment="1">
      <alignment vertical="center"/>
    </xf>
    <xf numFmtId="10" fontId="15" fillId="11" borderId="14" xfId="0" applyNumberFormat="1" applyFont="1" applyFill="1" applyBorder="1" applyAlignment="1">
      <alignment vertical="center"/>
    </xf>
    <xf numFmtId="2" fontId="15" fillId="11" borderId="14" xfId="0" applyNumberFormat="1" applyFont="1" applyFill="1" applyBorder="1" applyAlignment="1">
      <alignment vertical="center"/>
    </xf>
    <xf numFmtId="164" fontId="15" fillId="11" borderId="14" xfId="0" applyNumberFormat="1" applyFont="1" applyFill="1" applyBorder="1" applyAlignment="1">
      <alignment horizontal="right" vertical="center"/>
    </xf>
    <xf numFmtId="10" fontId="19" fillId="11" borderId="14"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0" fontId="18" fillId="11" borderId="11" xfId="0" applyFont="1" applyFill="1" applyBorder="1" applyAlignment="1">
      <alignment horizontal="left" vertical="center" wrapText="1"/>
    </xf>
    <xf numFmtId="10" fontId="19" fillId="11" borderId="15" xfId="0" applyNumberFormat="1" applyFont="1" applyFill="1" applyBorder="1" applyAlignment="1">
      <alignment vertical="center"/>
    </xf>
    <xf numFmtId="164"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9" fontId="4" fillId="9" borderId="18" xfId="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9" borderId="17" xfId="1" applyNumberFormat="1" applyFont="1" applyFill="1" applyBorder="1" applyAlignment="1">
      <alignment horizontal="right" vertical="center" indent="1"/>
    </xf>
    <xf numFmtId="164" fontId="4" fillId="9" borderId="18"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0" fontId="4" fillId="9" borderId="19" xfId="1"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0" fontId="12" fillId="10" borderId="22" xfId="1" applyNumberFormat="1" applyFont="1" applyFill="1" applyBorder="1" applyAlignment="1">
      <alignment horizontal="left" vertical="center" indent="1"/>
    </xf>
    <xf numFmtId="9" fontId="12" fillId="10" borderId="22" xfId="1" applyFont="1" applyFill="1" applyBorder="1" applyAlignment="1">
      <alignment horizontal="left" vertical="center" indent="1"/>
    </xf>
    <xf numFmtId="167" fontId="4" fillId="9" borderId="21" xfId="0" applyNumberFormat="1" applyFont="1" applyFill="1" applyBorder="1" applyAlignment="1">
      <alignment horizontal="right" vertical="center" indent="1"/>
    </xf>
    <xf numFmtId="9" fontId="16"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2" fillId="10" borderId="24" xfId="1" applyFont="1" applyFill="1" applyBorder="1" applyAlignment="1">
      <alignment horizontal="left" vertical="center" indent="1"/>
    </xf>
    <xf numFmtId="165" fontId="4" fillId="9" borderId="25" xfId="1" applyNumberFormat="1" applyFont="1" applyFill="1" applyBorder="1" applyAlignment="1">
      <alignment horizontal="right" vertical="center" indent="1"/>
    </xf>
    <xf numFmtId="9" fontId="4" fillId="9" borderId="25" xfId="1" applyFont="1" applyFill="1" applyBorder="1" applyAlignment="1">
      <alignment horizontal="right" vertical="center" indent="1"/>
    </xf>
    <xf numFmtId="2" fontId="4" fillId="9" borderId="24" xfId="0" applyNumberFormat="1" applyFont="1" applyFill="1" applyBorder="1" applyAlignment="1">
      <alignment horizontal="right" vertical="center" indent="1"/>
    </xf>
    <xf numFmtId="0" fontId="12" fillId="10" borderId="24" xfId="1" applyNumberFormat="1" applyFont="1" applyFill="1" applyBorder="1" applyAlignment="1">
      <alignment horizontal="left" vertical="center" indent="1"/>
    </xf>
    <xf numFmtId="165" fontId="4" fillId="14" borderId="25" xfId="1" applyNumberFormat="1" applyFont="1" applyFill="1" applyBorder="1" applyAlignment="1">
      <alignment horizontal="right" vertical="center" indent="1"/>
    </xf>
    <xf numFmtId="9" fontId="17" fillId="10" borderId="24" xfId="1" applyFont="1" applyFill="1" applyBorder="1" applyAlignment="1">
      <alignment horizontal="left" vertical="center" indent="1"/>
    </xf>
    <xf numFmtId="9" fontId="3" fillId="13" borderId="25" xfId="1" applyFont="1" applyFill="1" applyBorder="1" applyAlignment="1">
      <alignment horizontal="right" vertical="center" indent="1"/>
    </xf>
    <xf numFmtId="9" fontId="16" fillId="10" borderId="26" xfId="1" applyFont="1" applyFill="1" applyBorder="1" applyAlignment="1">
      <alignment horizontal="left" vertical="center" indent="1"/>
    </xf>
    <xf numFmtId="0" fontId="12" fillId="11" borderId="6" xfId="0" applyFont="1" applyFill="1" applyBorder="1" applyAlignment="1">
      <alignment horizontal="left" vertical="center" indent="2"/>
    </xf>
    <xf numFmtId="9" fontId="4" fillId="10" borderId="11" xfId="1" applyFont="1" applyFill="1" applyBorder="1" applyAlignment="1">
      <alignment horizontal="center" vertical="center"/>
    </xf>
    <xf numFmtId="9" fontId="4" fillId="10" borderId="15" xfId="1" applyFont="1" applyFill="1" applyBorder="1" applyAlignment="1">
      <alignment horizontal="center" vertical="center"/>
    </xf>
    <xf numFmtId="10" fontId="13" fillId="9" borderId="11" xfId="1" applyNumberFormat="1" applyFont="1" applyFill="1" applyBorder="1" applyAlignment="1">
      <alignment horizontal="center" vertical="center"/>
    </xf>
    <xf numFmtId="10" fontId="13" fillId="9" borderId="15"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1" borderId="6" xfId="1" applyFont="1" applyFill="1" applyBorder="1" applyAlignment="1">
      <alignment horizontal="center" vertical="center"/>
    </xf>
    <xf numFmtId="9" fontId="13"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12"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41.223500000000001</v>
    <v>14.69</v>
    <v>2.4809999999999999</v>
    <v>-0.91</v>
    <v>-5.1124000000000003E-2</v>
    <v>0.02</v>
    <v>1.1840000000000002E-3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18</v>
    <v>Software &amp; IT Services</v>
    <v>Stock</v>
    <v>45239.966607488284</v>
    <v>0</v>
    <v>16.850000000000001</v>
    <v>5200010439</v>
    <v>CONFLUENT, INC.</v>
    <v>CONFLUENT, INC.</v>
    <v>17.95</v>
    <v>17.8</v>
    <v>16.89</v>
    <v>16.91</v>
    <v>307875100</v>
    <v>CFLT</v>
    <v>CONFLUENT, INC. (XNAS:CFLT)</v>
    <v>5187843</v>
    <v>6921429</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FL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CFL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66" workbookViewId="0">
      <pane xSplit="1" topLeftCell="B1" activePane="topRight" state="frozen"/>
      <selection pane="topRight" activeCell="A190" sqref="A190:XFD190"/>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149805000</v>
      </c>
      <c r="C2" s="26">
        <v>236577000</v>
      </c>
      <c r="D2" s="26">
        <v>387864000</v>
      </c>
      <c r="E2" s="26">
        <v>585944000</v>
      </c>
      <c r="F2" s="27">
        <v>683985000</v>
      </c>
      <c r="G2" s="26">
        <v>151732000</v>
      </c>
      <c r="H2" s="26">
        <v>168666000</v>
      </c>
      <c r="I2" s="26">
        <v>174302000</v>
      </c>
      <c r="J2" s="26">
        <v>189285000</v>
      </c>
    </row>
    <row r="3" spans="1:10" ht="16" x14ac:dyDescent="0.2">
      <c r="A3" s="9" t="s">
        <v>182</v>
      </c>
      <c r="B3" s="10"/>
      <c r="C3" s="11">
        <f t="shared" ref="C3:J3" si="0">(C2/B2)-1</f>
        <v>0.57923300290377489</v>
      </c>
      <c r="D3" s="11">
        <f t="shared" si="0"/>
        <v>0.6394831281147364</v>
      </c>
      <c r="E3" s="11">
        <f t="shared" si="0"/>
        <v>0.51069447022667736</v>
      </c>
      <c r="F3" s="11">
        <f t="shared" si="0"/>
        <v>0.16732145051404235</v>
      </c>
      <c r="G3" s="11"/>
      <c r="H3" s="11">
        <f t="shared" si="0"/>
        <v>0.11160467139430041</v>
      </c>
      <c r="I3" s="11">
        <f t="shared" si="0"/>
        <v>3.3415151838544821E-2</v>
      </c>
      <c r="J3" s="11">
        <f t="shared" si="0"/>
        <v>8.5960000458973562E-2</v>
      </c>
    </row>
    <row r="4" spans="1:10" ht="16" x14ac:dyDescent="0.2">
      <c r="A4" s="3" t="s">
        <v>10</v>
      </c>
      <c r="B4" s="4">
        <v>149805000</v>
      </c>
      <c r="C4" s="4">
        <v>236577000</v>
      </c>
      <c r="D4" s="4">
        <v>387864000</v>
      </c>
      <c r="E4" s="4">
        <v>585944000</v>
      </c>
      <c r="F4" s="5">
        <v>683985000</v>
      </c>
      <c r="G4" s="4">
        <v>151732000</v>
      </c>
      <c r="H4" s="4">
        <v>168666000</v>
      </c>
      <c r="I4" s="4">
        <v>174302000</v>
      </c>
      <c r="J4" s="4">
        <v>189285000</v>
      </c>
    </row>
    <row r="5" spans="1:10" ht="16" x14ac:dyDescent="0.2">
      <c r="A5" s="3" t="s">
        <v>11</v>
      </c>
      <c r="B5" s="4">
        <v>49369000</v>
      </c>
      <c r="C5" s="4">
        <v>75476000</v>
      </c>
      <c r="D5" s="4">
        <v>137292000</v>
      </c>
      <c r="E5" s="4">
        <v>202415000</v>
      </c>
      <c r="F5" s="5">
        <v>223193000</v>
      </c>
      <c r="G5" s="4">
        <v>53180000</v>
      </c>
      <c r="H5" s="4">
        <v>53949000</v>
      </c>
      <c r="I5" s="4">
        <v>58144000</v>
      </c>
      <c r="J5" s="4">
        <v>57920000</v>
      </c>
    </row>
    <row r="6" spans="1:10" ht="16" x14ac:dyDescent="0.2">
      <c r="A6" s="3" t="s">
        <v>12</v>
      </c>
      <c r="B6" s="4">
        <v>49369000</v>
      </c>
      <c r="C6" s="4">
        <v>75476000</v>
      </c>
      <c r="D6" s="4">
        <v>137292000</v>
      </c>
      <c r="E6" s="4">
        <v>202415000</v>
      </c>
      <c r="F6" s="5">
        <v>223193000</v>
      </c>
      <c r="G6" s="4">
        <v>53180000</v>
      </c>
      <c r="H6" s="4">
        <v>53949000</v>
      </c>
      <c r="I6" s="4">
        <v>58144000</v>
      </c>
      <c r="J6" s="4">
        <v>57920000</v>
      </c>
    </row>
    <row r="7" spans="1:10" ht="16" x14ac:dyDescent="0.2">
      <c r="A7" s="28" t="s">
        <v>13</v>
      </c>
      <c r="B7" s="26">
        <v>100436000</v>
      </c>
      <c r="C7" s="26">
        <v>161101000</v>
      </c>
      <c r="D7" s="26">
        <v>250572000</v>
      </c>
      <c r="E7" s="26">
        <v>383529000</v>
      </c>
      <c r="F7" s="27">
        <v>460792000</v>
      </c>
      <c r="G7" s="26">
        <v>98552000</v>
      </c>
      <c r="H7" s="26">
        <v>114717000</v>
      </c>
      <c r="I7" s="26">
        <v>116158000</v>
      </c>
      <c r="J7" s="26">
        <v>131365000</v>
      </c>
    </row>
    <row r="8" spans="1:10" ht="16" x14ac:dyDescent="0.2">
      <c r="A8" s="31" t="s">
        <v>49</v>
      </c>
      <c r="B8" s="32">
        <v>67.040000000000006</v>
      </c>
      <c r="C8" s="32">
        <v>68.099999999999994</v>
      </c>
      <c r="D8" s="32">
        <v>64.599999999999994</v>
      </c>
      <c r="E8" s="32">
        <v>65.45</v>
      </c>
      <c r="F8" s="33">
        <v>67.37</v>
      </c>
      <c r="G8" s="32">
        <v>64.95</v>
      </c>
      <c r="H8" s="32">
        <v>68.010000000000005</v>
      </c>
      <c r="I8" s="32">
        <v>66.64</v>
      </c>
      <c r="J8" s="32">
        <v>69.400000000000006</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198544000</v>
      </c>
      <c r="C10" s="4">
        <v>394276000</v>
      </c>
      <c r="D10" s="4">
        <v>590192000</v>
      </c>
      <c r="E10" s="4">
        <v>846203000</v>
      </c>
      <c r="F10" s="5">
        <v>945813000</v>
      </c>
      <c r="G10" s="4">
        <v>217452000</v>
      </c>
      <c r="H10" s="4">
        <v>229702000</v>
      </c>
      <c r="I10" s="4">
        <v>248869000</v>
      </c>
      <c r="J10" s="4">
        <v>249790000</v>
      </c>
    </row>
    <row r="11" spans="1:10" ht="16" x14ac:dyDescent="0.2">
      <c r="A11" s="24" t="s">
        <v>17</v>
      </c>
      <c r="B11" s="26">
        <v>140454000</v>
      </c>
      <c r="C11" s="26">
        <v>288877000</v>
      </c>
      <c r="D11" s="26">
        <v>428267000</v>
      </c>
      <c r="E11" s="26">
        <v>582162000</v>
      </c>
      <c r="F11" s="27">
        <v>633338000</v>
      </c>
      <c r="G11" s="26">
        <v>147353000</v>
      </c>
      <c r="H11" s="26">
        <v>157893000</v>
      </c>
      <c r="I11" s="26">
        <v>163979000</v>
      </c>
      <c r="J11" s="26">
        <v>164113000</v>
      </c>
    </row>
    <row r="12" spans="1:10" ht="16" x14ac:dyDescent="0.2">
      <c r="A12" s="12" t="s">
        <v>183</v>
      </c>
      <c r="B12" s="11">
        <f t="shared" ref="B12:J12" si="1">B11/B2</f>
        <v>0.93757885250826078</v>
      </c>
      <c r="C12" s="11">
        <f t="shared" si="1"/>
        <v>1.2210696728760615</v>
      </c>
      <c r="D12" s="11">
        <f t="shared" si="1"/>
        <v>1.1041679557783139</v>
      </c>
      <c r="E12" s="11">
        <f t="shared" si="1"/>
        <v>0.99354545826904961</v>
      </c>
      <c r="F12" s="11">
        <f t="shared" si="1"/>
        <v>0.92595305452604959</v>
      </c>
      <c r="G12" s="11">
        <f t="shared" si="1"/>
        <v>0.97113990456858146</v>
      </c>
      <c r="H12" s="11">
        <f t="shared" si="1"/>
        <v>0.93612820604034008</v>
      </c>
      <c r="I12" s="11">
        <f t="shared" si="1"/>
        <v>0.94077520625121913</v>
      </c>
      <c r="J12" s="11">
        <f t="shared" si="1"/>
        <v>0.86701534722772544</v>
      </c>
    </row>
    <row r="13" spans="1:10" ht="16" x14ac:dyDescent="0.2">
      <c r="A13" s="24" t="s">
        <v>18</v>
      </c>
      <c r="B13" s="26">
        <v>58090000</v>
      </c>
      <c r="C13" s="26">
        <v>105399000</v>
      </c>
      <c r="D13" s="26">
        <v>161925000</v>
      </c>
      <c r="E13" s="26">
        <v>264041000</v>
      </c>
      <c r="F13" s="27">
        <v>312475000</v>
      </c>
      <c r="G13" s="26">
        <v>70099000</v>
      </c>
      <c r="H13" s="26">
        <v>71809000</v>
      </c>
      <c r="I13" s="26">
        <v>84890000</v>
      </c>
      <c r="J13" s="26">
        <v>85677000</v>
      </c>
    </row>
    <row r="14" spans="1:10" ht="16" x14ac:dyDescent="0.2">
      <c r="A14" s="13" t="s">
        <v>184</v>
      </c>
      <c r="B14" s="14">
        <f t="shared" ref="B14:J14" si="2">B13/B2</f>
        <v>0.38777076866593235</v>
      </c>
      <c r="C14" s="14">
        <f t="shared" si="2"/>
        <v>0.44551668167235192</v>
      </c>
      <c r="D14" s="14">
        <f t="shared" si="2"/>
        <v>0.41747880700451706</v>
      </c>
      <c r="E14" s="14">
        <f t="shared" si="2"/>
        <v>0.45062497440028398</v>
      </c>
      <c r="F14" s="14">
        <f t="shared" si="2"/>
        <v>0.45684481384825693</v>
      </c>
      <c r="G14" s="14">
        <f t="shared" si="2"/>
        <v>0.46199219676798564</v>
      </c>
      <c r="H14" s="14">
        <f t="shared" si="2"/>
        <v>0.42574674208198449</v>
      </c>
      <c r="I14" s="14">
        <f t="shared" si="2"/>
        <v>0.48702826129361682</v>
      </c>
      <c r="J14" s="14">
        <f t="shared" si="2"/>
        <v>0.45263491560345509</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-98108000</v>
      </c>
      <c r="C16" s="26">
        <v>-233175000</v>
      </c>
      <c r="D16" s="26">
        <v>-339620000</v>
      </c>
      <c r="E16" s="26">
        <v>-462674000</v>
      </c>
      <c r="F16" s="27">
        <v>-485021000</v>
      </c>
      <c r="G16" s="26">
        <v>-118900000</v>
      </c>
      <c r="H16" s="26">
        <v>-114985000</v>
      </c>
      <c r="I16" s="26">
        <v>-132711000</v>
      </c>
      <c r="J16" s="26">
        <v>-118425000</v>
      </c>
    </row>
    <row r="17" spans="1:10" ht="16" x14ac:dyDescent="0.2">
      <c r="A17" s="24" t="s">
        <v>50</v>
      </c>
      <c r="B17" s="29">
        <v>-65.489999999999995</v>
      </c>
      <c r="C17" s="29">
        <v>-98.56</v>
      </c>
      <c r="D17" s="29">
        <v>-87.56</v>
      </c>
      <c r="E17" s="29">
        <v>-78.959999999999994</v>
      </c>
      <c r="F17" s="30">
        <v>-70.91</v>
      </c>
      <c r="G17" s="29">
        <v>-78.36</v>
      </c>
      <c r="H17" s="29">
        <v>-68.17</v>
      </c>
      <c r="I17" s="29">
        <v>-76.14</v>
      </c>
      <c r="J17" s="29">
        <v>-62.56</v>
      </c>
    </row>
    <row r="18" spans="1:10" ht="16" x14ac:dyDescent="0.2">
      <c r="A18" s="15" t="s">
        <v>185</v>
      </c>
      <c r="B18" s="10"/>
      <c r="C18" s="11">
        <f>(C16/B16)-1</f>
        <v>1.3767174950055043</v>
      </c>
      <c r="D18" s="11">
        <f>(D16/C16)-1</f>
        <v>0.45650262678245945</v>
      </c>
      <c r="E18" s="11">
        <f>(E16/D16)-1</f>
        <v>0.36232848477710378</v>
      </c>
      <c r="F18" s="11">
        <f t="shared" ref="F18:J18" si="3">(F16/E16)-1</f>
        <v>4.8299666719979983E-2</v>
      </c>
      <c r="G18" s="11"/>
      <c r="H18" s="11">
        <f t="shared" si="3"/>
        <v>-3.2926829268292712E-2</v>
      </c>
      <c r="I18" s="11">
        <f t="shared" si="3"/>
        <v>0.15415923816149935</v>
      </c>
      <c r="J18" s="11">
        <f t="shared" si="3"/>
        <v>-0.10764744444695618</v>
      </c>
    </row>
    <row r="19" spans="1:10" ht="16" x14ac:dyDescent="0.2">
      <c r="A19" s="3" t="s">
        <v>21</v>
      </c>
      <c r="B19" s="4">
        <v>-3061000</v>
      </c>
      <c r="C19" s="4">
        <v>-3140000</v>
      </c>
      <c r="D19" s="4">
        <v>7000</v>
      </c>
      <c r="E19" s="4">
        <v>-16416000</v>
      </c>
      <c r="F19" s="5">
        <v>-14516000</v>
      </c>
      <c r="G19" s="4">
        <v>-4719000</v>
      </c>
      <c r="H19" s="4">
        <v>-11327000</v>
      </c>
      <c r="I19" s="4">
        <v>18197000</v>
      </c>
      <c r="J19" s="4">
        <v>-16667000</v>
      </c>
    </row>
    <row r="20" spans="1:10" ht="16" x14ac:dyDescent="0.2">
      <c r="A20" s="3" t="s">
        <v>22</v>
      </c>
      <c r="B20" s="4">
        <v>-2494000</v>
      </c>
      <c r="C20" s="4">
        <v>-4113000</v>
      </c>
      <c r="D20" s="4">
        <v>-2020000</v>
      </c>
      <c r="E20" s="4" t="s">
        <v>15</v>
      </c>
      <c r="F20" s="5">
        <v>-3147000</v>
      </c>
      <c r="G20" s="4">
        <v>-3147000</v>
      </c>
      <c r="H20" s="4" t="s">
        <v>15</v>
      </c>
      <c r="I20" s="4" t="s">
        <v>15</v>
      </c>
      <c r="J20" s="4" t="s">
        <v>15</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v>2494000</v>
      </c>
      <c r="C22" s="4">
        <v>4113000</v>
      </c>
      <c r="D22" s="4">
        <v>2020000</v>
      </c>
      <c r="E22" s="4" t="s">
        <v>15</v>
      </c>
      <c r="F22" s="5">
        <v>3147000</v>
      </c>
      <c r="G22" s="4">
        <v>3147000</v>
      </c>
      <c r="H22" s="4" t="s">
        <v>15</v>
      </c>
      <c r="I22" s="4" t="s">
        <v>15</v>
      </c>
      <c r="J22" s="4" t="s">
        <v>15</v>
      </c>
    </row>
    <row r="23" spans="1:10" ht="16" x14ac:dyDescent="0.2">
      <c r="A23" s="3" t="s">
        <v>25</v>
      </c>
      <c r="B23" s="4">
        <v>-567000</v>
      </c>
      <c r="C23" s="4">
        <v>973000</v>
      </c>
      <c r="D23" s="4">
        <v>2027000</v>
      </c>
      <c r="E23" s="4">
        <v>-16416000</v>
      </c>
      <c r="F23" s="5">
        <v>-11369000</v>
      </c>
      <c r="G23" s="4">
        <v>-1572000</v>
      </c>
      <c r="H23" s="4">
        <v>-11327000</v>
      </c>
      <c r="I23" s="4">
        <v>18197000</v>
      </c>
      <c r="J23" s="4">
        <v>-16667000</v>
      </c>
    </row>
    <row r="24" spans="1:10" ht="16" x14ac:dyDescent="0.2">
      <c r="A24" s="3" t="s">
        <v>26</v>
      </c>
      <c r="B24" s="4">
        <v>-95047000</v>
      </c>
      <c r="C24" s="4">
        <v>-230035000</v>
      </c>
      <c r="D24" s="4">
        <v>-339627000</v>
      </c>
      <c r="E24" s="4">
        <v>-446258000</v>
      </c>
      <c r="F24" s="5">
        <v>-470505000</v>
      </c>
      <c r="G24" s="4">
        <v>-114181000</v>
      </c>
      <c r="H24" s="4">
        <v>-103658000</v>
      </c>
      <c r="I24" s="4">
        <v>-150908000</v>
      </c>
      <c r="J24" s="4">
        <v>-101758000</v>
      </c>
    </row>
    <row r="25" spans="1:10" ht="16" x14ac:dyDescent="0.2">
      <c r="A25" s="3" t="s">
        <v>27</v>
      </c>
      <c r="B25" s="4">
        <v>-5000</v>
      </c>
      <c r="C25" s="4">
        <v>-207000</v>
      </c>
      <c r="D25" s="4">
        <v>3174000</v>
      </c>
      <c r="E25" s="4">
        <v>6293000</v>
      </c>
      <c r="F25" s="5">
        <v>7408000</v>
      </c>
      <c r="G25" s="4">
        <v>1868000</v>
      </c>
      <c r="H25" s="4">
        <v>2226000</v>
      </c>
      <c r="I25" s="4">
        <v>1647000</v>
      </c>
      <c r="J25" s="4">
        <v>1667000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-95042000</v>
      </c>
      <c r="C27" s="4">
        <v>-229828000</v>
      </c>
      <c r="D27" s="4">
        <v>-342801000</v>
      </c>
      <c r="E27" s="4">
        <v>-452551000</v>
      </c>
      <c r="F27" s="5">
        <v>-477913000</v>
      </c>
      <c r="G27" s="4">
        <v>-116049000</v>
      </c>
      <c r="H27" s="4">
        <v>-105884000</v>
      </c>
      <c r="I27" s="4">
        <v>-152555000</v>
      </c>
      <c r="J27" s="4">
        <v>-103425000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-95042000</v>
      </c>
      <c r="C31" s="4">
        <v>-229828000</v>
      </c>
      <c r="D31" s="4">
        <v>-342801000</v>
      </c>
      <c r="E31" s="4">
        <v>-452551000</v>
      </c>
      <c r="F31" s="5">
        <v>-477913000</v>
      </c>
      <c r="G31" s="4">
        <v>-116049000</v>
      </c>
      <c r="H31" s="4">
        <v>-105884000</v>
      </c>
      <c r="I31" s="4">
        <v>-152555000</v>
      </c>
      <c r="J31" s="4">
        <v>-103425000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28" t="s">
        <v>35</v>
      </c>
      <c r="B33" s="26">
        <v>-95042000</v>
      </c>
      <c r="C33" s="26">
        <v>-229828000</v>
      </c>
      <c r="D33" s="26">
        <v>-342801000</v>
      </c>
      <c r="E33" s="26">
        <v>-452551000</v>
      </c>
      <c r="F33" s="27">
        <v>-477913000</v>
      </c>
      <c r="G33" s="26">
        <v>-116049000</v>
      </c>
      <c r="H33" s="26">
        <v>-105884000</v>
      </c>
      <c r="I33" s="26">
        <v>-152555000</v>
      </c>
      <c r="J33" s="26">
        <v>-103425000</v>
      </c>
    </row>
    <row r="34" spans="1:10" ht="16" x14ac:dyDescent="0.2">
      <c r="A34" s="24" t="s">
        <v>51</v>
      </c>
      <c r="B34" s="29">
        <v>-63.44</v>
      </c>
      <c r="C34" s="29">
        <v>-97.15</v>
      </c>
      <c r="D34" s="29">
        <v>-88.38</v>
      </c>
      <c r="E34" s="29">
        <v>-77.23</v>
      </c>
      <c r="F34" s="30">
        <v>-69.87</v>
      </c>
      <c r="G34" s="29">
        <v>-76.48</v>
      </c>
      <c r="H34" s="29">
        <v>-62.78</v>
      </c>
      <c r="I34" s="29">
        <v>-87.52</v>
      </c>
      <c r="J34" s="29">
        <v>-54.64</v>
      </c>
    </row>
    <row r="35" spans="1:10" ht="16" x14ac:dyDescent="0.2">
      <c r="A35" s="16" t="s">
        <v>186</v>
      </c>
      <c r="B35" s="17"/>
      <c r="C35" s="14">
        <f>(C33/B33)-1</f>
        <v>1.4181730182445658</v>
      </c>
      <c r="D35" s="14">
        <f>(D33/C33)-1</f>
        <v>0.49155455384026325</v>
      </c>
      <c r="E35" s="14">
        <f>(E33/D33)-1</f>
        <v>0.32015659230865712</v>
      </c>
      <c r="F35" s="14">
        <f t="shared" ref="F35:J35" si="4">(F33/E33)-1</f>
        <v>5.6042302414534451E-2</v>
      </c>
      <c r="G35" s="14"/>
      <c r="H35" s="14">
        <f t="shared" si="4"/>
        <v>-8.7592310144852581E-2</v>
      </c>
      <c r="I35" s="14">
        <f t="shared" si="4"/>
        <v>0.44077481016961961</v>
      </c>
      <c r="J35" s="14">
        <f t="shared" si="4"/>
        <v>-0.32204778604437745</v>
      </c>
    </row>
    <row r="36" spans="1:10" ht="16" x14ac:dyDescent="0.2">
      <c r="A36" s="18" t="s">
        <v>187</v>
      </c>
      <c r="B36" s="19">
        <f t="shared" ref="B36:J36" si="5">(B16*(1-0.25))/(B126+B105+B96)</f>
        <v>0.56269644017894693</v>
      </c>
      <c r="C36" s="19">
        <f t="shared" si="5"/>
        <v>0.68495732755750693</v>
      </c>
      <c r="D36" s="19">
        <f t="shared" si="5"/>
        <v>-0.12917479561206838</v>
      </c>
      <c r="E36" s="19">
        <f t="shared" si="5"/>
        <v>-0.1839425959772869</v>
      </c>
      <c r="F36" s="19">
        <f t="shared" si="5"/>
        <v>-0.19382367311794038</v>
      </c>
      <c r="G36" s="19">
        <f t="shared" si="5"/>
        <v>-4.6879435606817295E-2</v>
      </c>
      <c r="H36" s="19">
        <f t="shared" si="5"/>
        <v>-4.5713913897146442E-2</v>
      </c>
      <c r="I36" s="19">
        <f t="shared" si="5"/>
        <v>-5.3489091333147748E-2</v>
      </c>
      <c r="J36" s="19">
        <f t="shared" si="5"/>
        <v>-4.7324896218910298E-2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-95042000</v>
      </c>
      <c r="C39" s="4">
        <v>-229828000</v>
      </c>
      <c r="D39" s="4">
        <v>-342801000</v>
      </c>
      <c r="E39" s="4">
        <v>-452551000</v>
      </c>
      <c r="F39" s="5">
        <v>-477913000</v>
      </c>
      <c r="G39" s="4">
        <v>-116049000</v>
      </c>
      <c r="H39" s="4">
        <v>-105884000</v>
      </c>
      <c r="I39" s="4">
        <v>-152555000</v>
      </c>
      <c r="J39" s="4">
        <v>-103425000</v>
      </c>
    </row>
    <row r="40" spans="1:10" ht="16" x14ac:dyDescent="0.2">
      <c r="A40" s="3" t="s">
        <v>39</v>
      </c>
      <c r="B40" s="4">
        <v>224261000</v>
      </c>
      <c r="C40" s="4">
        <v>224261000</v>
      </c>
      <c r="D40" s="4">
        <v>188628000</v>
      </c>
      <c r="E40" s="4">
        <v>280080000</v>
      </c>
      <c r="F40" s="5">
        <v>289690015</v>
      </c>
      <c r="G40" s="4">
        <v>282267230</v>
      </c>
      <c r="H40" s="4">
        <v>286800654</v>
      </c>
      <c r="I40" s="4">
        <v>291864975</v>
      </c>
      <c r="J40" s="4">
        <v>297827200</v>
      </c>
    </row>
    <row r="41" spans="1:10" ht="16" x14ac:dyDescent="0.2">
      <c r="A41" s="3" t="s">
        <v>40</v>
      </c>
      <c r="B41" s="6">
        <v>-0.42</v>
      </c>
      <c r="C41" s="6">
        <v>-1.02</v>
      </c>
      <c r="D41" s="6">
        <v>-1.82</v>
      </c>
      <c r="E41" s="6">
        <v>-1.62</v>
      </c>
      <c r="F41" s="7">
        <v>-1.65</v>
      </c>
      <c r="G41" s="6">
        <v>-0.41</v>
      </c>
      <c r="H41" s="6">
        <v>-0.37</v>
      </c>
      <c r="I41" s="6">
        <v>-0.52</v>
      </c>
      <c r="J41" s="6">
        <v>-0.35</v>
      </c>
    </row>
    <row r="42" spans="1:10" ht="16" x14ac:dyDescent="0.2">
      <c r="A42" s="3" t="s">
        <v>41</v>
      </c>
      <c r="B42" s="6">
        <v>-0.42</v>
      </c>
      <c r="C42" s="6">
        <v>-1.02</v>
      </c>
      <c r="D42" s="6">
        <v>-1.82</v>
      </c>
      <c r="E42" s="6">
        <v>-1.62</v>
      </c>
      <c r="F42" s="7">
        <v>-1.65</v>
      </c>
      <c r="G42" s="6">
        <v>-0.41</v>
      </c>
      <c r="H42" s="6">
        <v>-0.37</v>
      </c>
      <c r="I42" s="6">
        <v>-0.52</v>
      </c>
      <c r="J42" s="6">
        <v>-0.35</v>
      </c>
    </row>
    <row r="43" spans="1:10" ht="16" x14ac:dyDescent="0.2">
      <c r="A43" s="3" t="s">
        <v>42</v>
      </c>
      <c r="B43" s="4">
        <v>224261000</v>
      </c>
      <c r="C43" s="4">
        <v>224261000</v>
      </c>
      <c r="D43" s="4">
        <v>188628000</v>
      </c>
      <c r="E43" s="4">
        <v>280080000</v>
      </c>
      <c r="F43" s="5">
        <v>289690015</v>
      </c>
      <c r="G43" s="4">
        <v>282267230</v>
      </c>
      <c r="H43" s="4">
        <v>286800654</v>
      </c>
      <c r="I43" s="4">
        <v>291864975</v>
      </c>
      <c r="J43" s="4">
        <v>297827200</v>
      </c>
    </row>
    <row r="44" spans="1:10" ht="16" x14ac:dyDescent="0.2">
      <c r="A44" s="3" t="s">
        <v>43</v>
      </c>
      <c r="B44" s="6">
        <v>-0.42</v>
      </c>
      <c r="C44" s="6">
        <v>-1.02</v>
      </c>
      <c r="D44" s="6">
        <v>-1.82</v>
      </c>
      <c r="E44" s="6">
        <v>-1.62</v>
      </c>
      <c r="F44" s="7">
        <v>-1.65</v>
      </c>
      <c r="G44" s="6">
        <v>-0.41</v>
      </c>
      <c r="H44" s="6">
        <v>-0.37</v>
      </c>
      <c r="I44" s="6">
        <v>-0.52</v>
      </c>
      <c r="J44" s="6">
        <v>-0.35</v>
      </c>
    </row>
    <row r="45" spans="1:10" ht="16" x14ac:dyDescent="0.2">
      <c r="A45" s="3" t="s">
        <v>44</v>
      </c>
      <c r="B45" s="6">
        <v>-0.42</v>
      </c>
      <c r="C45" s="6">
        <v>-1.02</v>
      </c>
      <c r="D45" s="6">
        <v>-1.82</v>
      </c>
      <c r="E45" s="6">
        <v>-1.62</v>
      </c>
      <c r="F45" s="7">
        <v>-1.65</v>
      </c>
      <c r="G45" s="6">
        <v>-0.41</v>
      </c>
      <c r="H45" s="6">
        <v>-0.37</v>
      </c>
      <c r="I45" s="6">
        <v>-0.52</v>
      </c>
      <c r="J45" s="6">
        <v>-0.35</v>
      </c>
    </row>
    <row r="46" spans="1:10" ht="16" x14ac:dyDescent="0.2">
      <c r="A46" s="3" t="s">
        <v>45</v>
      </c>
      <c r="B46" s="4">
        <v>-96906000</v>
      </c>
      <c r="C46" s="4">
        <v>-231608000</v>
      </c>
      <c r="D46" s="4">
        <v>-335988000</v>
      </c>
      <c r="E46" s="4">
        <v>-455054000</v>
      </c>
      <c r="F46" s="5">
        <v>-474083000</v>
      </c>
      <c r="G46" s="4">
        <v>-116825000</v>
      </c>
      <c r="H46" s="4">
        <v>-112500000</v>
      </c>
      <c r="I46" s="4">
        <v>-129589000</v>
      </c>
      <c r="J46" s="4">
        <v>-115169000</v>
      </c>
    </row>
    <row r="47" spans="1:10" ht="16" x14ac:dyDescent="0.2">
      <c r="A47" s="3" t="s">
        <v>46</v>
      </c>
      <c r="B47" s="6">
        <v>-64.69</v>
      </c>
      <c r="C47" s="6">
        <v>-97.9</v>
      </c>
      <c r="D47" s="6">
        <v>-86.63</v>
      </c>
      <c r="E47" s="6">
        <v>-77.66</v>
      </c>
      <c r="F47" s="7">
        <v>-69.31</v>
      </c>
      <c r="G47" s="6">
        <v>-84.71</v>
      </c>
      <c r="H47" s="6">
        <v>-77.66</v>
      </c>
      <c r="I47" s="6">
        <v>-74.819999999999993</v>
      </c>
      <c r="J47" s="6">
        <v>-69.31</v>
      </c>
    </row>
    <row r="48" spans="1:10" ht="16" x14ac:dyDescent="0.2">
      <c r="A48" s="3" t="s">
        <v>47</v>
      </c>
      <c r="B48" s="4">
        <v>-98108000</v>
      </c>
      <c r="C48" s="4">
        <v>-233175000</v>
      </c>
      <c r="D48" s="4">
        <v>-339620000</v>
      </c>
      <c r="E48" s="4">
        <v>-462674000</v>
      </c>
      <c r="F48" s="5">
        <v>-485021000</v>
      </c>
      <c r="G48" s="4">
        <v>-118900000</v>
      </c>
      <c r="H48" s="4">
        <v>-114985000</v>
      </c>
      <c r="I48" s="4">
        <v>-132711000</v>
      </c>
      <c r="J48" s="4">
        <v>-118425000</v>
      </c>
    </row>
    <row r="49" spans="1:10" ht="16" x14ac:dyDescent="0.2">
      <c r="A49" s="3" t="s">
        <v>48</v>
      </c>
      <c r="B49" s="4">
        <v>-98108000</v>
      </c>
      <c r="C49" s="4">
        <v>-233175000</v>
      </c>
      <c r="D49" s="4">
        <v>-339620000</v>
      </c>
      <c r="E49" s="4">
        <v>-462674000</v>
      </c>
      <c r="F49" s="5">
        <v>-485021000</v>
      </c>
      <c r="G49" s="4">
        <v>-118900000</v>
      </c>
      <c r="H49" s="4">
        <v>-114985000</v>
      </c>
      <c r="I49" s="4">
        <v>-132711000</v>
      </c>
      <c r="J49" s="4">
        <v>-118425000</v>
      </c>
    </row>
    <row r="50" spans="1:10" ht="16" x14ac:dyDescent="0.2">
      <c r="A50" s="3" t="s">
        <v>52</v>
      </c>
      <c r="B50" s="4" t="s">
        <v>15</v>
      </c>
      <c r="C50" s="4" t="s">
        <v>15</v>
      </c>
      <c r="D50" s="4">
        <v>195792</v>
      </c>
      <c r="E50" s="4">
        <v>212222</v>
      </c>
      <c r="F50" s="5">
        <v>247731</v>
      </c>
      <c r="G50" s="4">
        <v>76594</v>
      </c>
      <c r="H50" s="4">
        <v>61089</v>
      </c>
      <c r="I50" s="4">
        <v>63130</v>
      </c>
      <c r="J50" s="4">
        <v>68557</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1202000</v>
      </c>
      <c r="C52" s="4">
        <v>1567000</v>
      </c>
      <c r="D52" s="4">
        <v>3632000</v>
      </c>
      <c r="E52" s="4">
        <v>7620000</v>
      </c>
      <c r="F52" s="5">
        <v>10938000</v>
      </c>
      <c r="G52" s="4">
        <v>2075000</v>
      </c>
      <c r="H52" s="4">
        <v>2485000</v>
      </c>
      <c r="I52" s="4">
        <v>3122000</v>
      </c>
      <c r="J52" s="4">
        <v>3256000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183065000</v>
      </c>
      <c r="C55" s="4">
        <v>427694000</v>
      </c>
      <c r="D55" s="4">
        <v>2226073000</v>
      </c>
      <c r="E55" s="4">
        <v>2198125000</v>
      </c>
      <c r="F55" s="5">
        <v>2139658000</v>
      </c>
      <c r="G55" s="4">
        <v>2174555000</v>
      </c>
      <c r="H55" s="4">
        <v>2198125000</v>
      </c>
      <c r="I55" s="4">
        <v>2115049000</v>
      </c>
      <c r="J55" s="4">
        <v>2139658000</v>
      </c>
    </row>
    <row r="56" spans="1:10" ht="16" x14ac:dyDescent="0.2">
      <c r="A56" s="3" t="s">
        <v>56</v>
      </c>
      <c r="B56" s="4">
        <v>99773000</v>
      </c>
      <c r="C56" s="4">
        <v>288545000</v>
      </c>
      <c r="D56" s="4">
        <v>2016017000</v>
      </c>
      <c r="E56" s="4">
        <v>1926825000</v>
      </c>
      <c r="F56" s="5">
        <v>1847555000</v>
      </c>
      <c r="G56" s="4">
        <v>1939719000</v>
      </c>
      <c r="H56" s="4">
        <v>1926825000</v>
      </c>
      <c r="I56" s="4">
        <v>1849852000</v>
      </c>
      <c r="J56" s="4">
        <v>1847555000</v>
      </c>
    </row>
    <row r="57" spans="1:10" ht="16" x14ac:dyDescent="0.2">
      <c r="A57" s="3" t="s">
        <v>57</v>
      </c>
      <c r="B57" s="4">
        <v>18954000</v>
      </c>
      <c r="C57" s="4">
        <v>36789000</v>
      </c>
      <c r="D57" s="4">
        <v>1375932000</v>
      </c>
      <c r="E57" s="4">
        <v>435781000</v>
      </c>
      <c r="F57" s="5">
        <v>312643000</v>
      </c>
      <c r="G57" s="4">
        <v>503406000</v>
      </c>
      <c r="H57" s="4">
        <v>435781000</v>
      </c>
      <c r="I57" s="4">
        <v>343460000</v>
      </c>
      <c r="J57" s="4">
        <v>312643000</v>
      </c>
    </row>
    <row r="58" spans="1:10" ht="16" x14ac:dyDescent="0.2">
      <c r="A58" s="3" t="s">
        <v>58</v>
      </c>
      <c r="B58" s="4">
        <v>80819000</v>
      </c>
      <c r="C58" s="4">
        <v>251756000</v>
      </c>
      <c r="D58" s="4">
        <v>640085000</v>
      </c>
      <c r="E58" s="4">
        <v>1491044000</v>
      </c>
      <c r="F58" s="5">
        <v>1534912000</v>
      </c>
      <c r="G58" s="4">
        <v>1436313000</v>
      </c>
      <c r="H58" s="4">
        <v>1491044000</v>
      </c>
      <c r="I58" s="4">
        <v>1506392000</v>
      </c>
      <c r="J58" s="4">
        <v>1534912000</v>
      </c>
    </row>
    <row r="59" spans="1:10" ht="16" x14ac:dyDescent="0.2">
      <c r="A59" s="3" t="s">
        <v>59</v>
      </c>
      <c r="B59" s="4">
        <v>67779000</v>
      </c>
      <c r="C59" s="4">
        <v>110956000</v>
      </c>
      <c r="D59" s="4">
        <v>137491000</v>
      </c>
      <c r="E59" s="4">
        <v>178188000</v>
      </c>
      <c r="F59" s="5">
        <v>188705000</v>
      </c>
      <c r="G59" s="4">
        <v>143026000</v>
      </c>
      <c r="H59" s="4">
        <v>178188000</v>
      </c>
      <c r="I59" s="4">
        <v>169650000</v>
      </c>
      <c r="J59" s="4">
        <v>188705000</v>
      </c>
    </row>
    <row r="60" spans="1:10" ht="16" x14ac:dyDescent="0.2">
      <c r="A60" s="3" t="s">
        <v>60</v>
      </c>
      <c r="B60" s="4">
        <v>65070000</v>
      </c>
      <c r="C60" s="4">
        <v>105971000</v>
      </c>
      <c r="D60" s="4">
        <v>137491000</v>
      </c>
      <c r="E60" s="4">
        <v>178188000</v>
      </c>
      <c r="F60" s="5">
        <v>188705000</v>
      </c>
      <c r="G60" s="4">
        <v>143026000</v>
      </c>
      <c r="H60" s="4">
        <v>178188000</v>
      </c>
      <c r="I60" s="4">
        <v>169650000</v>
      </c>
      <c r="J60" s="4">
        <v>188705000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2709000</v>
      </c>
      <c r="C63" s="4">
        <v>4985000</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15513000</v>
      </c>
      <c r="C70" s="4">
        <v>28193000</v>
      </c>
      <c r="D70" s="4">
        <v>72565000</v>
      </c>
      <c r="E70" s="4">
        <v>93112000</v>
      </c>
      <c r="F70" s="5">
        <v>103398000</v>
      </c>
      <c r="G70" s="4">
        <v>91810000</v>
      </c>
      <c r="H70" s="4">
        <v>93112000</v>
      </c>
      <c r="I70" s="4">
        <v>95547000</v>
      </c>
      <c r="J70" s="4">
        <v>103398000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23255000</v>
      </c>
      <c r="C76" s="4">
        <v>98425000</v>
      </c>
      <c r="D76" s="4">
        <v>116656000</v>
      </c>
      <c r="E76" s="4">
        <v>146724000</v>
      </c>
      <c r="F76" s="5">
        <v>187982000</v>
      </c>
      <c r="G76" s="4">
        <v>139074000</v>
      </c>
      <c r="H76" s="4">
        <v>146724000</v>
      </c>
      <c r="I76" s="4">
        <v>177776000</v>
      </c>
      <c r="J76" s="4">
        <v>187982000</v>
      </c>
    </row>
    <row r="77" spans="1:10" ht="16" x14ac:dyDescent="0.2">
      <c r="A77" s="3" t="s">
        <v>77</v>
      </c>
      <c r="B77" s="4">
        <v>2871000</v>
      </c>
      <c r="C77" s="4">
        <v>54991000</v>
      </c>
      <c r="D77" s="4">
        <v>46625000</v>
      </c>
      <c r="E77" s="4">
        <v>46384000</v>
      </c>
      <c r="F77" s="5">
        <v>55469000</v>
      </c>
      <c r="G77" s="4">
        <v>57120000</v>
      </c>
      <c r="H77" s="4">
        <v>46384000</v>
      </c>
      <c r="I77" s="4">
        <v>33013000</v>
      </c>
      <c r="J77" s="4">
        <v>55469000</v>
      </c>
    </row>
    <row r="78" spans="1:10" ht="16" x14ac:dyDescent="0.2">
      <c r="A78" s="3" t="s">
        <v>78</v>
      </c>
      <c r="B78" s="4">
        <v>4013000</v>
      </c>
      <c r="C78" s="4">
        <v>57634000</v>
      </c>
      <c r="D78" s="4">
        <v>51709000</v>
      </c>
      <c r="E78" s="4">
        <v>58567000</v>
      </c>
      <c r="F78" s="5">
        <v>73675000</v>
      </c>
      <c r="G78" s="4">
        <v>67228000</v>
      </c>
      <c r="H78" s="4">
        <v>58567000</v>
      </c>
      <c r="I78" s="4">
        <v>48072000</v>
      </c>
      <c r="J78" s="4">
        <v>73675000</v>
      </c>
    </row>
    <row r="79" spans="1:10" ht="16" x14ac:dyDescent="0.2">
      <c r="A79" s="3" t="s">
        <v>79</v>
      </c>
      <c r="B79" s="4">
        <v>1142000</v>
      </c>
      <c r="C79" s="4">
        <v>2643000</v>
      </c>
      <c r="D79" s="4">
        <v>5084000</v>
      </c>
      <c r="E79" s="4">
        <v>12183000</v>
      </c>
      <c r="F79" s="5">
        <v>18206000</v>
      </c>
      <c r="G79" s="4">
        <v>10108000</v>
      </c>
      <c r="H79" s="4">
        <v>12183000</v>
      </c>
      <c r="I79" s="4">
        <v>15059000</v>
      </c>
      <c r="J79" s="4">
        <v>18206000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20384000</v>
      </c>
      <c r="C83" s="4">
        <v>43434000</v>
      </c>
      <c r="D83" s="4">
        <v>70031000</v>
      </c>
      <c r="E83" s="4">
        <v>100340000</v>
      </c>
      <c r="F83" s="5">
        <v>132513000</v>
      </c>
      <c r="G83" s="4">
        <v>81954000</v>
      </c>
      <c r="H83" s="4">
        <v>100340000</v>
      </c>
      <c r="I83" s="4">
        <v>144763000</v>
      </c>
      <c r="J83" s="4">
        <v>132513000</v>
      </c>
    </row>
    <row r="84" spans="1:10" ht="16" x14ac:dyDescent="0.2">
      <c r="A84" s="3" t="s">
        <v>84</v>
      </c>
      <c r="B84" s="4" t="s">
        <v>15</v>
      </c>
      <c r="C84" s="4" t="s">
        <v>15</v>
      </c>
      <c r="D84" s="4" t="s">
        <v>15</v>
      </c>
      <c r="E84" s="4" t="s">
        <v>15</v>
      </c>
      <c r="F84" s="5">
        <v>45814000</v>
      </c>
      <c r="G84" s="4" t="s">
        <v>15</v>
      </c>
      <c r="H84" s="4" t="s">
        <v>15</v>
      </c>
      <c r="I84" s="4">
        <v>45941000</v>
      </c>
      <c r="J84" s="4">
        <v>45814000</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t="s">
        <v>15</v>
      </c>
      <c r="C86" s="4" t="s">
        <v>15</v>
      </c>
      <c r="D86" s="4" t="s">
        <v>15</v>
      </c>
      <c r="E86" s="4" t="s">
        <v>15</v>
      </c>
      <c r="F86" s="5">
        <v>45814000</v>
      </c>
      <c r="G86" s="4" t="s">
        <v>15</v>
      </c>
      <c r="H86" s="4" t="s">
        <v>15</v>
      </c>
      <c r="I86" s="4">
        <v>45941000</v>
      </c>
      <c r="J86" s="4">
        <v>45814000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20384000</v>
      </c>
      <c r="C89" s="4">
        <v>43434000</v>
      </c>
      <c r="D89" s="4">
        <v>70031000</v>
      </c>
      <c r="E89" s="4">
        <v>100340000</v>
      </c>
      <c r="F89" s="5">
        <v>86699000</v>
      </c>
      <c r="G89" s="4">
        <v>81954000</v>
      </c>
      <c r="H89" s="4">
        <v>100340000</v>
      </c>
      <c r="I89" s="4">
        <v>98822000</v>
      </c>
      <c r="J89" s="4">
        <v>86699000</v>
      </c>
    </row>
    <row r="90" spans="1:10" ht="16" x14ac:dyDescent="0.2">
      <c r="A90" s="3" t="s">
        <v>90</v>
      </c>
      <c r="B90" s="4">
        <v>206320000</v>
      </c>
      <c r="C90" s="4">
        <v>526119000</v>
      </c>
      <c r="D90" s="4">
        <v>2342729000</v>
      </c>
      <c r="E90" s="4">
        <v>2344849000</v>
      </c>
      <c r="F90" s="5">
        <v>2327640000</v>
      </c>
      <c r="G90" s="4">
        <v>2313629000</v>
      </c>
      <c r="H90" s="4">
        <v>2344849000</v>
      </c>
      <c r="I90" s="4">
        <v>2292825000</v>
      </c>
      <c r="J90" s="4">
        <v>2327640000</v>
      </c>
    </row>
    <row r="91" spans="1:10" ht="16" x14ac:dyDescent="0.2">
      <c r="A91" s="3" t="s">
        <v>91</v>
      </c>
      <c r="B91" s="4">
        <v>19699000</v>
      </c>
      <c r="C91" s="4">
        <v>25816000</v>
      </c>
      <c r="D91" s="4">
        <v>106565000</v>
      </c>
      <c r="E91" s="4">
        <v>124194000</v>
      </c>
      <c r="F91" s="5">
        <v>40393000</v>
      </c>
      <c r="G91" s="4">
        <v>60273000</v>
      </c>
      <c r="H91" s="4">
        <v>124194000</v>
      </c>
      <c r="I91" s="4">
        <v>98178000</v>
      </c>
      <c r="J91" s="4">
        <v>40393000</v>
      </c>
    </row>
    <row r="92" spans="1:10" ht="16" x14ac:dyDescent="0.2">
      <c r="A92" s="3" t="s">
        <v>92</v>
      </c>
      <c r="B92" s="4">
        <v>1771000</v>
      </c>
      <c r="C92" s="4">
        <v>1646000</v>
      </c>
      <c r="D92" s="4">
        <v>7591000</v>
      </c>
      <c r="E92" s="4">
        <v>21439000</v>
      </c>
      <c r="F92" s="5">
        <v>2459000</v>
      </c>
      <c r="G92" s="4">
        <v>14243000</v>
      </c>
      <c r="H92" s="4">
        <v>21439000</v>
      </c>
      <c r="I92" s="4">
        <v>10445000</v>
      </c>
      <c r="J92" s="4">
        <v>2459000</v>
      </c>
    </row>
    <row r="93" spans="1:10" ht="16" x14ac:dyDescent="0.2">
      <c r="A93" s="3" t="s">
        <v>93</v>
      </c>
      <c r="B93" s="4">
        <v>2200000</v>
      </c>
      <c r="C93" s="4">
        <v>6756000</v>
      </c>
      <c r="D93" s="4">
        <v>8681000</v>
      </c>
      <c r="E93" s="4">
        <v>10349000</v>
      </c>
      <c r="F93" s="5">
        <v>12314000</v>
      </c>
      <c r="G93" s="4">
        <v>10745000</v>
      </c>
      <c r="H93" s="4">
        <v>10349000</v>
      </c>
      <c r="I93" s="4">
        <v>11240000</v>
      </c>
      <c r="J93" s="4">
        <v>12314000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15728000</v>
      </c>
      <c r="C95" s="4">
        <v>17414000</v>
      </c>
      <c r="D95" s="4">
        <v>90293000</v>
      </c>
      <c r="E95" s="4">
        <v>92406000</v>
      </c>
      <c r="F95" s="5">
        <v>25620000</v>
      </c>
      <c r="G95" s="4">
        <v>35285000</v>
      </c>
      <c r="H95" s="4">
        <v>92406000</v>
      </c>
      <c r="I95" s="4">
        <v>76493000</v>
      </c>
      <c r="J95" s="4">
        <v>25620000</v>
      </c>
    </row>
    <row r="96" spans="1:10" ht="16" x14ac:dyDescent="0.2">
      <c r="A96" s="3" t="s">
        <v>96</v>
      </c>
      <c r="B96" s="4">
        <v>0</v>
      </c>
      <c r="C96" s="4">
        <v>10492000</v>
      </c>
      <c r="D96" s="4">
        <v>9236000</v>
      </c>
      <c r="E96" s="4">
        <v>7375000</v>
      </c>
      <c r="F96" s="5">
        <v>7618000</v>
      </c>
      <c r="G96" s="4">
        <v>7758000</v>
      </c>
      <c r="H96" s="4">
        <v>7375000</v>
      </c>
      <c r="I96" s="4">
        <v>7295000</v>
      </c>
      <c r="J96" s="4">
        <v>7618000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v>10492000</v>
      </c>
      <c r="D98" s="4">
        <v>9236000</v>
      </c>
      <c r="E98" s="4">
        <v>7375000</v>
      </c>
      <c r="F98" s="5">
        <v>7618000</v>
      </c>
      <c r="G98" s="4">
        <v>7758000</v>
      </c>
      <c r="H98" s="4">
        <v>7375000</v>
      </c>
      <c r="I98" s="4">
        <v>7295000</v>
      </c>
      <c r="J98" s="4">
        <v>7618000</v>
      </c>
    </row>
    <row r="99" spans="1:10" ht="16" x14ac:dyDescent="0.2">
      <c r="A99" s="3" t="s">
        <v>99</v>
      </c>
      <c r="B99" s="4">
        <v>95250000</v>
      </c>
      <c r="C99" s="4">
        <v>157491000</v>
      </c>
      <c r="D99" s="4">
        <v>232387000</v>
      </c>
      <c r="E99" s="4">
        <v>292761000</v>
      </c>
      <c r="F99" s="5">
        <v>375347000</v>
      </c>
      <c r="G99" s="4">
        <v>310615000</v>
      </c>
      <c r="H99" s="4">
        <v>292761000</v>
      </c>
      <c r="I99" s="4">
        <v>295689000</v>
      </c>
      <c r="J99" s="4">
        <v>375347000</v>
      </c>
    </row>
    <row r="100" spans="1:10" ht="16" x14ac:dyDescent="0.2">
      <c r="A100" s="3" t="s">
        <v>100</v>
      </c>
      <c r="B100" s="4">
        <v>84158000</v>
      </c>
      <c r="C100" s="4">
        <v>142901000</v>
      </c>
      <c r="D100" s="4">
        <v>220920000</v>
      </c>
      <c r="E100" s="4">
        <v>290185000</v>
      </c>
      <c r="F100" s="5">
        <v>300786000</v>
      </c>
      <c r="G100" s="4">
        <v>258853000</v>
      </c>
      <c r="H100" s="4">
        <v>290185000</v>
      </c>
      <c r="I100" s="4">
        <v>295689000</v>
      </c>
      <c r="J100" s="4">
        <v>300786000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11092000</v>
      </c>
      <c r="C103" s="4">
        <v>14590000</v>
      </c>
      <c r="D103" s="4">
        <v>11467000</v>
      </c>
      <c r="E103" s="4">
        <v>2576000</v>
      </c>
      <c r="F103" s="5">
        <v>74561000</v>
      </c>
      <c r="G103" s="4">
        <v>51762000</v>
      </c>
      <c r="H103" s="4">
        <v>2576000</v>
      </c>
      <c r="I103" s="4" t="s">
        <v>15</v>
      </c>
      <c r="J103" s="4">
        <v>74561000</v>
      </c>
    </row>
    <row r="104" spans="1:10" ht="16" x14ac:dyDescent="0.2">
      <c r="A104" s="3" t="s">
        <v>104</v>
      </c>
      <c r="B104" s="4">
        <v>114949000</v>
      </c>
      <c r="C104" s="4">
        <v>193799000</v>
      </c>
      <c r="D104" s="4">
        <v>348188000</v>
      </c>
      <c r="E104" s="4">
        <v>424330000</v>
      </c>
      <c r="F104" s="5">
        <v>423358000</v>
      </c>
      <c r="G104" s="4">
        <v>378646000</v>
      </c>
      <c r="H104" s="4">
        <v>424330000</v>
      </c>
      <c r="I104" s="4">
        <v>401162000</v>
      </c>
      <c r="J104" s="4">
        <v>423358000</v>
      </c>
    </row>
    <row r="105" spans="1:10" ht="16" x14ac:dyDescent="0.2">
      <c r="A105" s="3" t="s">
        <v>105</v>
      </c>
      <c r="B105" s="4">
        <v>0</v>
      </c>
      <c r="C105" s="4">
        <v>40440000</v>
      </c>
      <c r="D105" s="4">
        <v>1112346000</v>
      </c>
      <c r="E105" s="4">
        <v>1109636000</v>
      </c>
      <c r="F105" s="5">
        <v>1107783000</v>
      </c>
      <c r="G105" s="4">
        <v>1110564000</v>
      </c>
      <c r="H105" s="4">
        <v>1109636000</v>
      </c>
      <c r="I105" s="4">
        <v>1108668000</v>
      </c>
      <c r="J105" s="4">
        <v>1107783000</v>
      </c>
    </row>
    <row r="106" spans="1:10" ht="16" x14ac:dyDescent="0.2">
      <c r="A106" s="3" t="s">
        <v>106</v>
      </c>
      <c r="B106" s="4" t="s">
        <v>15</v>
      </c>
      <c r="C106" s="4" t="s">
        <v>15</v>
      </c>
      <c r="D106" s="4">
        <v>1080701000</v>
      </c>
      <c r="E106" s="4">
        <v>1084500000</v>
      </c>
      <c r="F106" s="5">
        <v>1086389000</v>
      </c>
      <c r="G106" s="4">
        <v>1083541000</v>
      </c>
      <c r="H106" s="4">
        <v>1084500000</v>
      </c>
      <c r="I106" s="4">
        <v>1085439000</v>
      </c>
      <c r="J106" s="4">
        <v>1086389000</v>
      </c>
    </row>
    <row r="107" spans="1:10" ht="16" x14ac:dyDescent="0.2">
      <c r="A107" s="3" t="s">
        <v>107</v>
      </c>
      <c r="B107" s="4" t="s">
        <v>15</v>
      </c>
      <c r="C107" s="4">
        <v>40440000</v>
      </c>
      <c r="D107" s="4">
        <v>31645000</v>
      </c>
      <c r="E107" s="4">
        <v>25136000</v>
      </c>
      <c r="F107" s="5">
        <v>21394000</v>
      </c>
      <c r="G107" s="4">
        <v>27023000</v>
      </c>
      <c r="H107" s="4">
        <v>25136000</v>
      </c>
      <c r="I107" s="4">
        <v>23229000</v>
      </c>
      <c r="J107" s="4">
        <v>21394000</v>
      </c>
    </row>
    <row r="108" spans="1:10" ht="16" x14ac:dyDescent="0.2">
      <c r="A108" s="3" t="s">
        <v>108</v>
      </c>
      <c r="B108" s="4">
        <v>222136000</v>
      </c>
      <c r="C108" s="4">
        <v>598129000</v>
      </c>
      <c r="D108" s="4">
        <v>31914000</v>
      </c>
      <c r="E108" s="4">
        <v>41406000</v>
      </c>
      <c r="F108" s="5">
        <v>35113000</v>
      </c>
      <c r="G108" s="4">
        <v>40521000</v>
      </c>
      <c r="H108" s="4">
        <v>41406000</v>
      </c>
      <c r="I108" s="4">
        <v>38144000</v>
      </c>
      <c r="J108" s="4">
        <v>35113000</v>
      </c>
    </row>
    <row r="109" spans="1:10" ht="16" x14ac:dyDescent="0.2">
      <c r="A109" s="3" t="s">
        <v>109</v>
      </c>
      <c r="B109" s="4">
        <v>10958000</v>
      </c>
      <c r="C109" s="4">
        <v>16292000</v>
      </c>
      <c r="D109" s="4">
        <v>25557000</v>
      </c>
      <c r="E109" s="4">
        <v>32644000</v>
      </c>
      <c r="F109" s="5">
        <v>27187000</v>
      </c>
      <c r="G109" s="4">
        <v>31065000</v>
      </c>
      <c r="H109" s="4">
        <v>32644000</v>
      </c>
      <c r="I109" s="4">
        <v>28896000</v>
      </c>
      <c r="J109" s="4">
        <v>27187000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211178000</v>
      </c>
      <c r="C114" s="4">
        <v>581837000</v>
      </c>
      <c r="D114" s="4">
        <v>6357000</v>
      </c>
      <c r="E114" s="4">
        <v>8762000</v>
      </c>
      <c r="F114" s="5">
        <v>7926000</v>
      </c>
      <c r="G114" s="4">
        <v>9456000</v>
      </c>
      <c r="H114" s="4">
        <v>8762000</v>
      </c>
      <c r="I114" s="4">
        <v>9248000</v>
      </c>
      <c r="J114" s="4">
        <v>7926000</v>
      </c>
    </row>
    <row r="115" spans="1:10" ht="16" x14ac:dyDescent="0.2">
      <c r="A115" s="3" t="s">
        <v>112</v>
      </c>
      <c r="B115" s="4">
        <v>222136000</v>
      </c>
      <c r="C115" s="4">
        <v>638569000</v>
      </c>
      <c r="D115" s="4">
        <v>1144260000</v>
      </c>
      <c r="E115" s="4">
        <v>1151042000</v>
      </c>
      <c r="F115" s="5">
        <v>1142896000</v>
      </c>
      <c r="G115" s="4">
        <v>1151085000</v>
      </c>
      <c r="H115" s="4">
        <v>1151042000</v>
      </c>
      <c r="I115" s="4">
        <v>1146812000</v>
      </c>
      <c r="J115" s="4">
        <v>1142896000</v>
      </c>
    </row>
    <row r="116" spans="1:10" ht="16" x14ac:dyDescent="0.2">
      <c r="A116" s="3" t="s">
        <v>113</v>
      </c>
      <c r="B116" s="4">
        <v>337085000</v>
      </c>
      <c r="C116" s="4">
        <v>832368000</v>
      </c>
      <c r="D116" s="4">
        <v>1492448000</v>
      </c>
      <c r="E116" s="4">
        <v>1575372000</v>
      </c>
      <c r="F116" s="5">
        <v>1566254000</v>
      </c>
      <c r="G116" s="4">
        <v>1529731000</v>
      </c>
      <c r="H116" s="4">
        <v>1575372000</v>
      </c>
      <c r="I116" s="4">
        <v>1547974000</v>
      </c>
      <c r="J116" s="4">
        <v>1566254000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45263000</v>
      </c>
      <c r="C118" s="4">
        <v>99576000</v>
      </c>
      <c r="D118" s="4">
        <v>1599965000</v>
      </c>
      <c r="E118" s="4">
        <v>1980338000</v>
      </c>
      <c r="F118" s="5">
        <v>2228577000</v>
      </c>
      <c r="G118" s="4">
        <v>1892477000</v>
      </c>
      <c r="H118" s="4">
        <v>1980338000</v>
      </c>
      <c r="I118" s="4">
        <v>2103265000</v>
      </c>
      <c r="J118" s="4">
        <v>2228577000</v>
      </c>
    </row>
    <row r="119" spans="1:10" ht="16" x14ac:dyDescent="0.2">
      <c r="A119" s="3" t="s">
        <v>116</v>
      </c>
      <c r="B119" s="4">
        <v>1000</v>
      </c>
      <c r="C119" s="4">
        <v>1000</v>
      </c>
      <c r="D119" s="4">
        <v>3000</v>
      </c>
      <c r="E119" s="4">
        <v>3000</v>
      </c>
      <c r="F119" s="5">
        <v>3000</v>
      </c>
      <c r="G119" s="4">
        <v>3000</v>
      </c>
      <c r="H119" s="4">
        <v>3000</v>
      </c>
      <c r="I119" s="4">
        <v>3000</v>
      </c>
      <c r="J119" s="4">
        <v>3000</v>
      </c>
    </row>
    <row r="120" spans="1:10" ht="16" x14ac:dyDescent="0.2">
      <c r="A120" s="3" t="s">
        <v>117</v>
      </c>
      <c r="B120" s="4">
        <v>45262000</v>
      </c>
      <c r="C120" s="4">
        <v>99575000</v>
      </c>
      <c r="D120" s="4">
        <v>1599962000</v>
      </c>
      <c r="E120" s="4">
        <v>1980335000</v>
      </c>
      <c r="F120" s="5">
        <v>2228574000</v>
      </c>
      <c r="G120" s="4">
        <v>1892474000</v>
      </c>
      <c r="H120" s="4">
        <v>1980335000</v>
      </c>
      <c r="I120" s="4">
        <v>2103262000</v>
      </c>
      <c r="J120" s="4">
        <v>2228574000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-176225000</v>
      </c>
      <c r="C122" s="4">
        <v>-406053000</v>
      </c>
      <c r="D122" s="4">
        <v>-748854000</v>
      </c>
      <c r="E122" s="4">
        <v>-1201405000</v>
      </c>
      <c r="F122" s="5">
        <v>-1457385000</v>
      </c>
      <c r="G122" s="4">
        <v>-1095521000</v>
      </c>
      <c r="H122" s="4">
        <v>-1201405000</v>
      </c>
      <c r="I122" s="4">
        <v>-1353960000</v>
      </c>
      <c r="J122" s="4">
        <v>-1457385000</v>
      </c>
    </row>
    <row r="123" spans="1:10" ht="16" x14ac:dyDescent="0.2">
      <c r="A123" s="3" t="s">
        <v>120</v>
      </c>
      <c r="B123" s="4">
        <v>197000</v>
      </c>
      <c r="C123" s="4">
        <v>228000</v>
      </c>
      <c r="D123" s="4">
        <v>-830000</v>
      </c>
      <c r="E123" s="4">
        <v>-9456000</v>
      </c>
      <c r="F123" s="5">
        <v>-9806000</v>
      </c>
      <c r="G123" s="4">
        <v>-13058000</v>
      </c>
      <c r="H123" s="4">
        <v>-9456000</v>
      </c>
      <c r="I123" s="4">
        <v>-4454000</v>
      </c>
      <c r="J123" s="4">
        <v>-9806000</v>
      </c>
    </row>
    <row r="124" spans="1:10" ht="16" x14ac:dyDescent="0.2">
      <c r="A124" s="3" t="s">
        <v>121</v>
      </c>
      <c r="B124" s="4">
        <v>-130765000</v>
      </c>
      <c r="C124" s="4">
        <v>-306249000</v>
      </c>
      <c r="D124" s="4">
        <v>850281000</v>
      </c>
      <c r="E124" s="4">
        <v>769477000</v>
      </c>
      <c r="F124" s="5">
        <v>761386000</v>
      </c>
      <c r="G124" s="4">
        <v>783898000</v>
      </c>
      <c r="H124" s="4">
        <v>769477000</v>
      </c>
      <c r="I124" s="4">
        <v>744851000</v>
      </c>
      <c r="J124" s="4">
        <v>761386000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-130765000</v>
      </c>
      <c r="C126" s="4">
        <v>-306249000</v>
      </c>
      <c r="D126" s="4">
        <v>850281000</v>
      </c>
      <c r="E126" s="4">
        <v>769477000</v>
      </c>
      <c r="F126" s="5">
        <v>761386000</v>
      </c>
      <c r="G126" s="4">
        <v>783898000</v>
      </c>
      <c r="H126" s="4">
        <v>769477000</v>
      </c>
      <c r="I126" s="4">
        <v>744851000</v>
      </c>
      <c r="J126" s="4">
        <v>761386000</v>
      </c>
    </row>
    <row r="127" spans="1:10" ht="16" x14ac:dyDescent="0.2">
      <c r="A127" s="3" t="s">
        <v>124</v>
      </c>
      <c r="B127" s="4">
        <v>206320000</v>
      </c>
      <c r="C127" s="4">
        <v>526119000</v>
      </c>
      <c r="D127" s="4">
        <v>2342729000</v>
      </c>
      <c r="E127" s="4">
        <v>2344849000</v>
      </c>
      <c r="F127" s="5">
        <v>2327640000</v>
      </c>
      <c r="G127" s="4">
        <v>2313629000</v>
      </c>
      <c r="H127" s="4">
        <v>2344849000</v>
      </c>
      <c r="I127" s="4">
        <v>2292825000</v>
      </c>
      <c r="J127" s="4">
        <v>2327640000</v>
      </c>
    </row>
    <row r="128" spans="1:10" ht="16" x14ac:dyDescent="0.2">
      <c r="A128" s="28" t="s">
        <v>125</v>
      </c>
      <c r="B128" s="26">
        <v>252365190</v>
      </c>
      <c r="C128" s="26">
        <v>252365190</v>
      </c>
      <c r="D128" s="26">
        <v>271801882</v>
      </c>
      <c r="E128" s="26">
        <v>289384180</v>
      </c>
      <c r="F128" s="27">
        <v>301678221</v>
      </c>
      <c r="G128" s="26">
        <v>285336351</v>
      </c>
      <c r="H128" s="26">
        <v>289384180</v>
      </c>
      <c r="I128" s="26">
        <v>295378610</v>
      </c>
      <c r="J128" s="26">
        <v>301678221</v>
      </c>
    </row>
    <row r="129" spans="1:10" ht="16" x14ac:dyDescent="0.2">
      <c r="A129" s="15" t="s">
        <v>188</v>
      </c>
      <c r="B129" s="10"/>
      <c r="C129" s="20">
        <f>(C128/B128)-1</f>
        <v>0</v>
      </c>
      <c r="D129" s="20">
        <f>(D128/C128)-1</f>
        <v>7.7018118069294816E-2</v>
      </c>
      <c r="E129" s="20">
        <f>(E128/D128)-1</f>
        <v>6.4687918533249844E-2</v>
      </c>
      <c r="F129" s="20">
        <f t="shared" ref="F129:J129" si="6">(F128/E128)-1</f>
        <v>4.2483459185640449E-2</v>
      </c>
      <c r="G129" s="20">
        <f t="shared" si="6"/>
        <v>-5.4169869955577599E-2</v>
      </c>
      <c r="H129" s="20">
        <f t="shared" si="6"/>
        <v>1.4186166556815705E-2</v>
      </c>
      <c r="I129" s="20">
        <f t="shared" si="6"/>
        <v>2.07144357372957E-2</v>
      </c>
      <c r="J129" s="20">
        <f t="shared" si="6"/>
        <v>2.1327241671290853E-2</v>
      </c>
    </row>
    <row r="130" spans="1:10" ht="16" x14ac:dyDescent="0.2">
      <c r="A130" s="3" t="s">
        <v>126</v>
      </c>
      <c r="B130" s="4" t="s">
        <v>15</v>
      </c>
      <c r="C130" s="4">
        <v>50932000</v>
      </c>
      <c r="D130" s="4">
        <v>40881000</v>
      </c>
      <c r="E130" s="4">
        <v>32511000</v>
      </c>
      <c r="F130" s="5">
        <v>29012000</v>
      </c>
      <c r="G130" s="4">
        <v>34781000</v>
      </c>
      <c r="H130" s="4">
        <v>32511000</v>
      </c>
      <c r="I130" s="4">
        <v>30524000</v>
      </c>
      <c r="J130" s="4">
        <v>29012000</v>
      </c>
    </row>
    <row r="131" spans="1:10" ht="16" x14ac:dyDescent="0.2">
      <c r="A131" s="3" t="s">
        <v>127</v>
      </c>
      <c r="B131" s="4">
        <v>-18954000</v>
      </c>
      <c r="C131" s="4">
        <v>-36789000</v>
      </c>
      <c r="D131" s="4">
        <v>-295231000</v>
      </c>
      <c r="E131" s="4">
        <v>648719000</v>
      </c>
      <c r="F131" s="5">
        <v>773746000</v>
      </c>
      <c r="G131" s="4">
        <v>580135000</v>
      </c>
      <c r="H131" s="4">
        <v>648719000</v>
      </c>
      <c r="I131" s="4">
        <v>741979000</v>
      </c>
      <c r="J131" s="4">
        <v>773746000</v>
      </c>
    </row>
    <row r="132" spans="1:10" ht="16" x14ac:dyDescent="0.2">
      <c r="A132" s="3" t="s">
        <v>128</v>
      </c>
      <c r="B132" s="6">
        <v>14.49</v>
      </c>
      <c r="C132" s="6">
        <v>12.01</v>
      </c>
      <c r="D132" s="6">
        <v>-34.72</v>
      </c>
      <c r="E132" s="6">
        <v>84.31</v>
      </c>
      <c r="F132" s="7">
        <v>101.62</v>
      </c>
      <c r="G132" s="6">
        <v>74.010000000000005</v>
      </c>
      <c r="H132" s="6">
        <v>84.31</v>
      </c>
      <c r="I132" s="6">
        <v>99.61</v>
      </c>
      <c r="J132" s="6">
        <v>101.62</v>
      </c>
    </row>
    <row r="133" spans="1:10" ht="16" x14ac:dyDescent="0.2">
      <c r="A133" s="3" t="s">
        <v>129</v>
      </c>
      <c r="B133" s="6">
        <v>-63.38</v>
      </c>
      <c r="C133" s="6">
        <v>-58.21</v>
      </c>
      <c r="D133" s="6">
        <v>36.29</v>
      </c>
      <c r="E133" s="6">
        <v>32.82</v>
      </c>
      <c r="F133" s="7">
        <v>31.36</v>
      </c>
      <c r="G133" s="6">
        <v>33.880000000000003</v>
      </c>
      <c r="H133" s="6">
        <v>32.82</v>
      </c>
      <c r="I133" s="6">
        <v>31.11</v>
      </c>
      <c r="J133" s="6">
        <v>31.36</v>
      </c>
    </row>
    <row r="134" spans="1:10" ht="16" x14ac:dyDescent="0.2">
      <c r="A134" s="3" t="s">
        <v>130</v>
      </c>
      <c r="B134" s="6">
        <v>1.59</v>
      </c>
      <c r="C134" s="6">
        <v>2.21</v>
      </c>
      <c r="D134" s="6">
        <v>6.39</v>
      </c>
      <c r="E134" s="6">
        <v>5.18</v>
      </c>
      <c r="F134" s="7">
        <v>5.05</v>
      </c>
      <c r="G134" s="6">
        <v>5.74</v>
      </c>
      <c r="H134" s="6">
        <v>5.18</v>
      </c>
      <c r="I134" s="6">
        <v>5.27</v>
      </c>
      <c r="J134" s="6">
        <v>5.05</v>
      </c>
    </row>
    <row r="135" spans="1:10" ht="16" x14ac:dyDescent="0.2">
      <c r="A135" s="3" t="s">
        <v>131</v>
      </c>
      <c r="B135" s="4" t="s">
        <v>15</v>
      </c>
      <c r="C135" s="6">
        <v>123.68</v>
      </c>
      <c r="D135" s="6">
        <v>102.28</v>
      </c>
      <c r="E135" s="6">
        <v>72.150000000000006</v>
      </c>
      <c r="F135" s="7">
        <v>75.5</v>
      </c>
      <c r="G135" s="6">
        <v>71.52</v>
      </c>
      <c r="H135" s="6">
        <v>72.150000000000006</v>
      </c>
      <c r="I135" s="6">
        <v>68.86</v>
      </c>
      <c r="J135" s="6">
        <v>75.5</v>
      </c>
    </row>
    <row r="136" spans="1:10" ht="16" x14ac:dyDescent="0.2">
      <c r="A136" s="3" t="s">
        <v>132</v>
      </c>
      <c r="B136" s="4" t="s">
        <v>15</v>
      </c>
      <c r="C136" s="4" t="s">
        <v>15</v>
      </c>
      <c r="D136" s="4">
        <v>1981</v>
      </c>
      <c r="E136" s="4">
        <v>2761</v>
      </c>
      <c r="F136" s="5">
        <v>2761</v>
      </c>
      <c r="G136" s="4">
        <v>1981</v>
      </c>
      <c r="H136" s="4">
        <v>2761</v>
      </c>
      <c r="I136" s="4">
        <v>2761</v>
      </c>
      <c r="J136" s="4">
        <v>2761</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-95042000</v>
      </c>
      <c r="C139" s="4">
        <v>-229828000</v>
      </c>
      <c r="D139" s="4">
        <v>-342801000</v>
      </c>
      <c r="E139" s="4">
        <v>-452551000</v>
      </c>
      <c r="F139" s="5">
        <v>-477913000</v>
      </c>
      <c r="G139" s="4">
        <v>-116049000</v>
      </c>
      <c r="H139" s="4">
        <v>-105884000</v>
      </c>
      <c r="I139" s="4">
        <v>-152555000</v>
      </c>
      <c r="J139" s="4">
        <v>-103425000</v>
      </c>
    </row>
    <row r="140" spans="1:10" ht="16" x14ac:dyDescent="0.2">
      <c r="A140" s="3" t="s">
        <v>134</v>
      </c>
      <c r="B140" s="4">
        <v>1202000</v>
      </c>
      <c r="C140" s="4">
        <v>1567000</v>
      </c>
      <c r="D140" s="4">
        <v>3632000</v>
      </c>
      <c r="E140" s="4">
        <v>7620000</v>
      </c>
      <c r="F140" s="5">
        <v>10938000</v>
      </c>
      <c r="G140" s="4">
        <v>2075000</v>
      </c>
      <c r="H140" s="4">
        <v>2485000</v>
      </c>
      <c r="I140" s="4">
        <v>3122000</v>
      </c>
      <c r="J140" s="4">
        <v>3256000</v>
      </c>
    </row>
    <row r="141" spans="1:10" ht="16" x14ac:dyDescent="0.2">
      <c r="A141" s="3" t="s">
        <v>135</v>
      </c>
      <c r="B141" s="4">
        <v>26622000</v>
      </c>
      <c r="C141" s="4">
        <v>171950000</v>
      </c>
      <c r="D141" s="4">
        <v>212221000</v>
      </c>
      <c r="E141" s="4">
        <v>319658000</v>
      </c>
      <c r="F141" s="5">
        <v>362715000</v>
      </c>
      <c r="G141" s="4">
        <v>85387000</v>
      </c>
      <c r="H141" s="4">
        <v>83463000</v>
      </c>
      <c r="I141" s="4">
        <v>98737000</v>
      </c>
      <c r="J141" s="4">
        <v>95128000</v>
      </c>
    </row>
    <row r="142" spans="1:10" ht="16" x14ac:dyDescent="0.2">
      <c r="A142" s="28" t="s">
        <v>136</v>
      </c>
      <c r="B142" s="26">
        <v>18617000</v>
      </c>
      <c r="C142" s="26">
        <v>143341000</v>
      </c>
      <c r="D142" s="26">
        <v>155624000</v>
      </c>
      <c r="E142" s="26">
        <v>277656000</v>
      </c>
      <c r="F142" s="27">
        <v>322869000</v>
      </c>
      <c r="G142" s="26">
        <v>75393000</v>
      </c>
      <c r="H142" s="26">
        <v>76028000</v>
      </c>
      <c r="I142" s="26">
        <v>79289000</v>
      </c>
      <c r="J142" s="26">
        <v>92159000</v>
      </c>
    </row>
    <row r="143" spans="1:10" ht="16" x14ac:dyDescent="0.2">
      <c r="A143" s="12" t="s">
        <v>189</v>
      </c>
      <c r="B143" s="20">
        <f t="shared" ref="B143:J143" si="7">B142/B2</f>
        <v>0.12427489069123193</v>
      </c>
      <c r="C143" s="20">
        <f t="shared" si="7"/>
        <v>0.60589575487050729</v>
      </c>
      <c r="D143" s="20">
        <f t="shared" si="7"/>
        <v>0.40123342202421469</v>
      </c>
      <c r="E143" s="20">
        <f t="shared" si="7"/>
        <v>0.47386098330215859</v>
      </c>
      <c r="F143" s="20">
        <f t="shared" si="7"/>
        <v>0.4720410535318757</v>
      </c>
      <c r="G143" s="20">
        <f t="shared" si="7"/>
        <v>0.49688266153481137</v>
      </c>
      <c r="H143" s="20">
        <f t="shared" si="7"/>
        <v>0.45076067494337924</v>
      </c>
      <c r="I143" s="20">
        <f t="shared" si="7"/>
        <v>0.45489437872198829</v>
      </c>
      <c r="J143" s="20">
        <f t="shared" si="7"/>
        <v>0.48687957313046465</v>
      </c>
    </row>
    <row r="144" spans="1:10" ht="16" x14ac:dyDescent="0.2">
      <c r="A144" s="3" t="s">
        <v>137</v>
      </c>
      <c r="B144" s="4">
        <v>-394000</v>
      </c>
      <c r="C144" s="4">
        <v>-1335000</v>
      </c>
      <c r="D144" s="4">
        <v>1335000</v>
      </c>
      <c r="E144" s="4">
        <v>-237000</v>
      </c>
      <c r="F144" s="5">
        <v>-253000</v>
      </c>
      <c r="G144" s="4">
        <v>20000</v>
      </c>
      <c r="H144" s="4">
        <v>-283000</v>
      </c>
      <c r="I144" s="4">
        <v>5000</v>
      </c>
      <c r="J144" s="4">
        <v>5000</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8399000</v>
      </c>
      <c r="C146" s="4">
        <v>29944000</v>
      </c>
      <c r="D146" s="4">
        <v>55262000</v>
      </c>
      <c r="E146" s="4">
        <v>42239000</v>
      </c>
      <c r="F146" s="5">
        <v>40099000</v>
      </c>
      <c r="G146" s="4">
        <v>9974000</v>
      </c>
      <c r="H146" s="4">
        <v>7718000</v>
      </c>
      <c r="I146" s="4">
        <v>19443000</v>
      </c>
      <c r="J146" s="4">
        <v>2964000</v>
      </c>
    </row>
    <row r="147" spans="1:10" ht="16" x14ac:dyDescent="0.2">
      <c r="A147" s="3" t="s">
        <v>140</v>
      </c>
      <c r="B147" s="4">
        <v>-1616000</v>
      </c>
      <c r="C147" s="4">
        <v>-25746000</v>
      </c>
      <c r="D147" s="4">
        <v>21888000</v>
      </c>
      <c r="E147" s="4">
        <v>-32060000</v>
      </c>
      <c r="F147" s="5">
        <v>-71402000</v>
      </c>
      <c r="G147" s="4">
        <v>-13165000</v>
      </c>
      <c r="H147" s="4">
        <v>-7142000</v>
      </c>
      <c r="I147" s="4">
        <v>-27076000</v>
      </c>
      <c r="J147" s="4">
        <v>-24019000</v>
      </c>
    </row>
    <row r="148" spans="1:10" ht="16" x14ac:dyDescent="0.2">
      <c r="A148" s="3" t="s">
        <v>141</v>
      </c>
      <c r="B148" s="4">
        <v>-27117000</v>
      </c>
      <c r="C148" s="4">
        <v>-41612000</v>
      </c>
      <c r="D148" s="4">
        <v>-32516000</v>
      </c>
      <c r="E148" s="4">
        <v>-42080000</v>
      </c>
      <c r="F148" s="5">
        <v>-40911000</v>
      </c>
      <c r="G148" s="4">
        <v>6047000</v>
      </c>
      <c r="H148" s="4">
        <v>-35665000</v>
      </c>
      <c r="I148" s="4">
        <v>8068000</v>
      </c>
      <c r="J148" s="4">
        <v>-19361000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-5926000</v>
      </c>
      <c r="C150" s="4">
        <v>-14368000</v>
      </c>
      <c r="D150" s="4">
        <v>-31366000</v>
      </c>
      <c r="E150" s="4">
        <v>-17850000</v>
      </c>
      <c r="F150" s="5">
        <v>-3786000</v>
      </c>
      <c r="G150" s="4">
        <v>-977000</v>
      </c>
      <c r="H150" s="4">
        <v>3248000</v>
      </c>
      <c r="I150" s="4">
        <v>3141000</v>
      </c>
      <c r="J150" s="4">
        <v>-9198000</v>
      </c>
    </row>
    <row r="151" spans="1:10" ht="16" x14ac:dyDescent="0.2">
      <c r="A151" s="3" t="s">
        <v>144</v>
      </c>
      <c r="B151" s="4">
        <v>10115000</v>
      </c>
      <c r="C151" s="4">
        <v>15510000</v>
      </c>
      <c r="D151" s="4">
        <v>67275000</v>
      </c>
      <c r="E151" s="4">
        <v>23528000</v>
      </c>
      <c r="F151" s="5">
        <v>3151000</v>
      </c>
      <c r="G151" s="4">
        <v>-1039000</v>
      </c>
      <c r="H151" s="4">
        <v>15358000</v>
      </c>
      <c r="I151" s="4">
        <v>-27882000</v>
      </c>
      <c r="J151" s="4">
        <v>16714000</v>
      </c>
    </row>
    <row r="152" spans="1:10" ht="16" x14ac:dyDescent="0.2">
      <c r="A152" s="3" t="s">
        <v>145</v>
      </c>
      <c r="B152" s="4">
        <v>21312000</v>
      </c>
      <c r="C152" s="4">
        <v>14724000</v>
      </c>
      <c r="D152" s="4">
        <v>18495000</v>
      </c>
      <c r="E152" s="4">
        <v>4342000</v>
      </c>
      <c r="F152" s="5">
        <v>-29856000</v>
      </c>
      <c r="G152" s="4">
        <v>-17196000</v>
      </c>
      <c r="H152" s="4">
        <v>9917000</v>
      </c>
      <c r="I152" s="4">
        <v>-10403000</v>
      </c>
      <c r="J152" s="4">
        <v>-12174000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-68834000</v>
      </c>
      <c r="C154" s="4">
        <v>-82057000</v>
      </c>
      <c r="D154" s="4">
        <v>-105060000</v>
      </c>
      <c r="E154" s="4">
        <v>-157333000</v>
      </c>
      <c r="F154" s="5">
        <v>-175662000</v>
      </c>
      <c r="G154" s="4">
        <v>-41752000</v>
      </c>
      <c r="H154" s="4">
        <v>-27078000</v>
      </c>
      <c r="I154" s="4">
        <v>-77772000</v>
      </c>
      <c r="J154" s="4">
        <v>-29060000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-1954000</v>
      </c>
      <c r="C159" s="4">
        <v>-1040000</v>
      </c>
      <c r="D159" s="4">
        <v>-3600000</v>
      </c>
      <c r="E159" s="4">
        <v>-4121000</v>
      </c>
      <c r="F159" s="5">
        <v>-3405000</v>
      </c>
      <c r="G159" s="4">
        <v>-1044000</v>
      </c>
      <c r="H159" s="4">
        <v>-1006000</v>
      </c>
      <c r="I159" s="4">
        <v>-546000</v>
      </c>
      <c r="J159" s="4">
        <v>-809000</v>
      </c>
    </row>
    <row r="160" spans="1:10" ht="16" x14ac:dyDescent="0.2">
      <c r="A160" s="3" t="s">
        <v>153</v>
      </c>
      <c r="B160" s="4">
        <v>-1954000</v>
      </c>
      <c r="C160" s="4">
        <v>-1040000</v>
      </c>
      <c r="D160" s="4">
        <v>-3600000</v>
      </c>
      <c r="E160" s="4">
        <v>-4121000</v>
      </c>
      <c r="F160" s="5">
        <v>-3405000</v>
      </c>
      <c r="G160" s="4">
        <v>-1044000</v>
      </c>
      <c r="H160" s="4">
        <v>-1006000</v>
      </c>
      <c r="I160" s="4">
        <v>-546000</v>
      </c>
      <c r="J160" s="4">
        <v>-809000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v>38270000</v>
      </c>
      <c r="C162" s="4">
        <v>-172209000</v>
      </c>
      <c r="D162" s="4">
        <v>-391653000</v>
      </c>
      <c r="E162" s="4">
        <v>-851350000</v>
      </c>
      <c r="F162" s="5">
        <v>-79028000</v>
      </c>
      <c r="G162" s="4">
        <v>-8886000</v>
      </c>
      <c r="H162" s="4">
        <v>-45761000</v>
      </c>
      <c r="I162" s="4">
        <v>-1579000</v>
      </c>
      <c r="J162" s="4">
        <v>-22802000</v>
      </c>
    </row>
    <row r="163" spans="1:10" ht="16" x14ac:dyDescent="0.2">
      <c r="A163" s="3" t="s">
        <v>156</v>
      </c>
      <c r="B163" s="4">
        <v>104248000</v>
      </c>
      <c r="C163" s="4">
        <v>157407000</v>
      </c>
      <c r="D163" s="4">
        <v>271942000</v>
      </c>
      <c r="E163" s="4">
        <v>1200558000</v>
      </c>
      <c r="F163" s="5">
        <v>1805282000</v>
      </c>
      <c r="G163" s="4">
        <v>347000000</v>
      </c>
      <c r="H163" s="4">
        <v>482899000</v>
      </c>
      <c r="I163" s="4">
        <v>451777000</v>
      </c>
      <c r="J163" s="4">
        <v>523606000</v>
      </c>
    </row>
    <row r="164" spans="1:10" ht="16" x14ac:dyDescent="0.2">
      <c r="A164" s="3" t="s">
        <v>157</v>
      </c>
      <c r="B164" s="4">
        <v>-65978000</v>
      </c>
      <c r="C164" s="4">
        <v>-329616000</v>
      </c>
      <c r="D164" s="4">
        <v>-663595000</v>
      </c>
      <c r="E164" s="4">
        <v>-2051908000</v>
      </c>
      <c r="F164" s="5">
        <v>-1884310000</v>
      </c>
      <c r="G164" s="4">
        <v>-355886000</v>
      </c>
      <c r="H164" s="4">
        <v>-528660000</v>
      </c>
      <c r="I164" s="4">
        <v>-453356000</v>
      </c>
      <c r="J164" s="4">
        <v>-546408000</v>
      </c>
    </row>
    <row r="165" spans="1:10" ht="16" x14ac:dyDescent="0.2">
      <c r="A165" s="3" t="s">
        <v>158</v>
      </c>
      <c r="B165" s="4" t="s">
        <v>15</v>
      </c>
      <c r="C165" s="4" t="s">
        <v>15</v>
      </c>
      <c r="D165" s="4" t="s">
        <v>15</v>
      </c>
      <c r="E165" s="4" t="s">
        <v>15</v>
      </c>
      <c r="F165" s="5">
        <v>-45802000</v>
      </c>
      <c r="G165" s="4" t="s">
        <v>15</v>
      </c>
      <c r="H165" s="4" t="s">
        <v>15</v>
      </c>
      <c r="I165" s="4">
        <v>-45802000</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v>-45802000</v>
      </c>
      <c r="G167" s="4" t="s">
        <v>15</v>
      </c>
      <c r="H167" s="4" t="s">
        <v>15</v>
      </c>
      <c r="I167" s="4">
        <v>-45802000</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-675000</v>
      </c>
      <c r="C169" s="4">
        <v>-3610000</v>
      </c>
      <c r="D169" s="4">
        <v>-5330000</v>
      </c>
      <c r="E169" s="4">
        <v>-10334000</v>
      </c>
      <c r="F169" s="5">
        <v>-15455000</v>
      </c>
      <c r="G169" s="4">
        <v>-2788000</v>
      </c>
      <c r="H169" s="4">
        <v>-2781000</v>
      </c>
      <c r="I169" s="4">
        <v>-4556000</v>
      </c>
      <c r="J169" s="4">
        <v>-5330000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35641000</v>
      </c>
      <c r="C171" s="4">
        <v>-176859000</v>
      </c>
      <c r="D171" s="4">
        <v>-400583000</v>
      </c>
      <c r="E171" s="4">
        <v>-865805000</v>
      </c>
      <c r="F171" s="5">
        <v>-143690000</v>
      </c>
      <c r="G171" s="4">
        <v>-12718000</v>
      </c>
      <c r="H171" s="4">
        <v>-49548000</v>
      </c>
      <c r="I171" s="4">
        <v>-52483000</v>
      </c>
      <c r="J171" s="4">
        <v>-28941000</v>
      </c>
    </row>
    <row r="172" spans="1:10" ht="16" x14ac:dyDescent="0.2">
      <c r="A172" s="3" t="s">
        <v>164</v>
      </c>
      <c r="B172" s="4" t="s">
        <v>15</v>
      </c>
      <c r="C172" s="4" t="s">
        <v>15</v>
      </c>
      <c r="D172" s="4" t="s">
        <v>15</v>
      </c>
      <c r="E172" s="4" t="s">
        <v>15</v>
      </c>
      <c r="F172" s="40">
        <v>0</v>
      </c>
      <c r="G172" s="4" t="s">
        <v>15</v>
      </c>
      <c r="H172" s="4" t="s">
        <v>15</v>
      </c>
      <c r="I172" s="4" t="s">
        <v>15</v>
      </c>
      <c r="J172" s="4" t="s">
        <v>15</v>
      </c>
    </row>
    <row r="173" spans="1:10" ht="16" x14ac:dyDescent="0.2">
      <c r="A173" s="3" t="s">
        <v>165</v>
      </c>
      <c r="B173" s="4" t="s">
        <v>15</v>
      </c>
      <c r="C173" s="4" t="s">
        <v>15</v>
      </c>
      <c r="D173" s="4">
        <v>1081300000</v>
      </c>
      <c r="E173" s="4">
        <v>-786000</v>
      </c>
      <c r="F173" s="5" t="s">
        <v>15</v>
      </c>
      <c r="G173" s="4" t="s">
        <v>15</v>
      </c>
      <c r="H173" s="4" t="s">
        <v>15</v>
      </c>
      <c r="I173" s="4" t="s">
        <v>15</v>
      </c>
      <c r="J173" s="4" t="s">
        <v>15</v>
      </c>
    </row>
    <row r="174" spans="1:10" ht="16" x14ac:dyDescent="0.2">
      <c r="A174" s="3" t="s">
        <v>166</v>
      </c>
      <c r="B174" s="4" t="s">
        <v>15</v>
      </c>
      <c r="C174" s="4" t="s">
        <v>15</v>
      </c>
      <c r="D174" s="4">
        <v>1081300000</v>
      </c>
      <c r="E174" s="4" t="s">
        <v>15</v>
      </c>
      <c r="F174" s="5" t="s">
        <v>15</v>
      </c>
      <c r="G174" s="4" t="s">
        <v>15</v>
      </c>
      <c r="H174" s="4" t="s">
        <v>15</v>
      </c>
      <c r="I174" s="4" t="s">
        <v>15</v>
      </c>
      <c r="J174" s="4" t="s">
        <v>15</v>
      </c>
    </row>
    <row r="175" spans="1:10" ht="16" x14ac:dyDescent="0.2">
      <c r="A175" s="3" t="s">
        <v>167</v>
      </c>
      <c r="B175" s="4" t="s">
        <v>15</v>
      </c>
      <c r="C175" s="4" t="s">
        <v>15</v>
      </c>
      <c r="D175" s="4" t="s">
        <v>15</v>
      </c>
      <c r="E175" s="4">
        <v>-786000</v>
      </c>
      <c r="F175" s="5" t="s">
        <v>15</v>
      </c>
      <c r="G175" s="4" t="s">
        <v>15</v>
      </c>
      <c r="H175" s="4" t="s">
        <v>15</v>
      </c>
      <c r="I175" s="4" t="s">
        <v>15</v>
      </c>
      <c r="J175" s="4" t="s">
        <v>15</v>
      </c>
    </row>
    <row r="176" spans="1:10" ht="16" x14ac:dyDescent="0.2">
      <c r="A176" s="3" t="s">
        <v>168</v>
      </c>
      <c r="B176" s="4" t="s">
        <v>15</v>
      </c>
      <c r="C176" s="4" t="s">
        <v>15</v>
      </c>
      <c r="D176" s="4">
        <v>786600000</v>
      </c>
      <c r="E176" s="4" t="s">
        <v>15</v>
      </c>
      <c r="F176" s="5" t="s">
        <v>15</v>
      </c>
      <c r="G176" s="4" t="s">
        <v>15</v>
      </c>
      <c r="H176" s="4" t="s">
        <v>15</v>
      </c>
      <c r="I176" s="4" t="s">
        <v>15</v>
      </c>
      <c r="J176" s="4" t="s">
        <v>15</v>
      </c>
    </row>
    <row r="177" spans="1:10" ht="16" x14ac:dyDescent="0.2">
      <c r="A177" s="3" t="s">
        <v>169</v>
      </c>
      <c r="B177" s="4" t="s">
        <v>15</v>
      </c>
      <c r="C177" s="4" t="s">
        <v>15</v>
      </c>
      <c r="D177" s="4">
        <v>786600000</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13432000</v>
      </c>
      <c r="C179" s="4">
        <v>276758000</v>
      </c>
      <c r="D179" s="4">
        <v>-23386000</v>
      </c>
      <c r="E179" s="4">
        <v>83027000</v>
      </c>
      <c r="F179" s="5">
        <v>101659000</v>
      </c>
      <c r="G179" s="4">
        <v>28189000</v>
      </c>
      <c r="H179" s="4">
        <v>8249000</v>
      </c>
      <c r="I179" s="4">
        <v>37729000</v>
      </c>
      <c r="J179" s="4">
        <v>27492000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13432000</v>
      </c>
      <c r="C181" s="4">
        <v>276758000</v>
      </c>
      <c r="D181" s="4">
        <v>1844514000</v>
      </c>
      <c r="E181" s="4">
        <v>82241000</v>
      </c>
      <c r="F181" s="5">
        <v>101659000</v>
      </c>
      <c r="G181" s="4">
        <v>28189000</v>
      </c>
      <c r="H181" s="4">
        <v>8249000</v>
      </c>
      <c r="I181" s="4">
        <v>37729000</v>
      </c>
      <c r="J181" s="4">
        <v>27492000</v>
      </c>
    </row>
    <row r="182" spans="1:10" ht="16" x14ac:dyDescent="0.2">
      <c r="A182" s="3" t="s">
        <v>173</v>
      </c>
      <c r="B182" s="4">
        <v>-85000</v>
      </c>
      <c r="C182" s="4">
        <v>-7000</v>
      </c>
      <c r="D182" s="4">
        <v>5000</v>
      </c>
      <c r="E182" s="4">
        <v>-4000</v>
      </c>
      <c r="F182" s="5">
        <v>-81000</v>
      </c>
      <c r="G182" s="4">
        <v>20000</v>
      </c>
      <c r="H182" s="4">
        <v>2000</v>
      </c>
      <c r="I182" s="4">
        <v>205000</v>
      </c>
      <c r="J182" s="4">
        <v>-308000</v>
      </c>
    </row>
    <row r="183" spans="1:10" ht="16" x14ac:dyDescent="0.2">
      <c r="A183" s="3" t="s">
        <v>174</v>
      </c>
      <c r="B183" s="4">
        <v>-19761000</v>
      </c>
      <c r="C183" s="4">
        <v>17842000</v>
      </c>
      <c r="D183" s="4">
        <v>1338871000</v>
      </c>
      <c r="E183" s="4">
        <v>-940897000</v>
      </c>
      <c r="F183" s="5">
        <v>-217693000</v>
      </c>
      <c r="G183" s="4">
        <v>-26281000</v>
      </c>
      <c r="H183" s="4"/>
      <c r="I183" s="4">
        <v>-92526000</v>
      </c>
      <c r="J183" s="4">
        <v>-30509000</v>
      </c>
    </row>
    <row r="184" spans="1:10" ht="16" x14ac:dyDescent="0.2">
      <c r="A184" s="3" t="s">
        <v>45</v>
      </c>
      <c r="B184" s="4">
        <v>-96906000</v>
      </c>
      <c r="C184" s="4">
        <v>-231608000</v>
      </c>
      <c r="D184" s="4">
        <v>-335988000</v>
      </c>
      <c r="E184" s="4">
        <v>-455054000</v>
      </c>
      <c r="F184" s="5">
        <v>-474083000</v>
      </c>
      <c r="G184" s="4">
        <v>-116825000</v>
      </c>
      <c r="H184" s="4">
        <v>-112500000</v>
      </c>
      <c r="I184" s="4">
        <v>-129589000</v>
      </c>
      <c r="J184" s="4">
        <v>-115169000</v>
      </c>
    </row>
    <row r="185" spans="1:10" ht="16" x14ac:dyDescent="0.2">
      <c r="A185" s="3" t="s">
        <v>46</v>
      </c>
      <c r="B185" s="6">
        <v>-64.69</v>
      </c>
      <c r="C185" s="6">
        <v>-97.9</v>
      </c>
      <c r="D185" s="6">
        <v>-86.63</v>
      </c>
      <c r="E185" s="6">
        <v>-77.66</v>
      </c>
      <c r="F185" s="7">
        <v>-69.31</v>
      </c>
      <c r="G185" s="6">
        <v>-84.71</v>
      </c>
      <c r="H185" s="6">
        <v>-77.66</v>
      </c>
      <c r="I185" s="6">
        <v>-74.819999999999993</v>
      </c>
      <c r="J185" s="6">
        <v>-69.31</v>
      </c>
    </row>
    <row r="186" spans="1:10" ht="16" x14ac:dyDescent="0.2">
      <c r="A186" s="3" t="s">
        <v>175</v>
      </c>
      <c r="B186" s="4" t="s">
        <v>15</v>
      </c>
      <c r="C186" s="4" t="s">
        <v>15</v>
      </c>
      <c r="D186" s="4" t="s">
        <v>15</v>
      </c>
      <c r="E186" s="4" t="s">
        <v>15</v>
      </c>
      <c r="F186" s="5">
        <v>45802000</v>
      </c>
      <c r="G186" s="4" t="s">
        <v>15</v>
      </c>
      <c r="H186" s="4" t="s">
        <v>15</v>
      </c>
      <c r="I186" s="4">
        <v>45802000</v>
      </c>
      <c r="J186" s="4" t="s">
        <v>15</v>
      </c>
    </row>
    <row r="187" spans="1:10" ht="16" x14ac:dyDescent="0.2">
      <c r="A187" s="3" t="s">
        <v>176</v>
      </c>
      <c r="B187" s="4">
        <v>-70788000</v>
      </c>
      <c r="C187" s="4">
        <v>-83097000</v>
      </c>
      <c r="D187" s="4">
        <v>-108660000</v>
      </c>
      <c r="E187" s="4">
        <v>-161454000</v>
      </c>
      <c r="F187" s="5">
        <v>-179067000</v>
      </c>
      <c r="G187" s="4">
        <v>-42796000</v>
      </c>
      <c r="H187" s="4">
        <v>-28084000</v>
      </c>
      <c r="I187" s="4">
        <v>-78318000</v>
      </c>
      <c r="J187" s="4">
        <v>-29869000</v>
      </c>
    </row>
    <row r="188" spans="1:10" ht="16" x14ac:dyDescent="0.2">
      <c r="A188" s="28" t="s">
        <v>177</v>
      </c>
      <c r="B188" s="26">
        <v>-70788000</v>
      </c>
      <c r="C188" s="26">
        <v>-83097000</v>
      </c>
      <c r="D188" s="26">
        <v>-108660000</v>
      </c>
      <c r="E188" s="26">
        <v>-161454000</v>
      </c>
      <c r="F188" s="27">
        <v>-179067000</v>
      </c>
      <c r="G188" s="26">
        <v>-42796000</v>
      </c>
      <c r="H188" s="26">
        <v>-28084000</v>
      </c>
      <c r="I188" s="26">
        <v>-78318000</v>
      </c>
      <c r="J188" s="26">
        <v>-29869000</v>
      </c>
    </row>
    <row r="189" spans="1:10" ht="16" x14ac:dyDescent="0.2">
      <c r="A189" s="21" t="s">
        <v>190</v>
      </c>
      <c r="B189" s="22"/>
      <c r="C189" s="23">
        <f>(C188/B188)-1</f>
        <v>0.17388540430581445</v>
      </c>
      <c r="D189" s="23">
        <f>(D188/C188)-1</f>
        <v>0.30762843423950326</v>
      </c>
      <c r="E189" s="23">
        <f>(E188/D188)-1</f>
        <v>0.48586416344561023</v>
      </c>
      <c r="F189" s="23">
        <f t="shared" ref="F189" si="8">(F188/E188)-1</f>
        <v>0.10908989557397164</v>
      </c>
      <c r="G189" s="23"/>
      <c r="H189" s="23">
        <f t="shared" ref="H189:J189" si="9">(H188/G188)-1</f>
        <v>-0.34377044583605942</v>
      </c>
      <c r="I189" s="23">
        <f t="shared" si="9"/>
        <v>1.7887053126335282</v>
      </c>
      <c r="J189" s="23">
        <f t="shared" si="9"/>
        <v>-0.61861896371204583</v>
      </c>
    </row>
    <row r="190" spans="1:10" ht="16" x14ac:dyDescent="0.2">
      <c r="A190" s="24" t="s">
        <v>191</v>
      </c>
      <c r="B190" s="25">
        <f t="shared" ref="B190:J190" si="10">B188/B2</f>
        <v>-0.47253429458295787</v>
      </c>
      <c r="C190" s="25">
        <f t="shared" si="10"/>
        <v>-0.35124716265740119</v>
      </c>
      <c r="D190" s="25">
        <f t="shared" si="10"/>
        <v>-0.28014974320895986</v>
      </c>
      <c r="E190" s="25">
        <f t="shared" si="10"/>
        <v>-0.27554510328632087</v>
      </c>
      <c r="F190" s="25">
        <f t="shared" si="10"/>
        <v>-0.26179960086844012</v>
      </c>
      <c r="G190" s="25">
        <f t="shared" si="10"/>
        <v>-0.28204993013998364</v>
      </c>
      <c r="H190" s="25">
        <f t="shared" si="10"/>
        <v>-0.16650658698255724</v>
      </c>
      <c r="I190" s="25">
        <f t="shared" si="10"/>
        <v>-0.44932358779589449</v>
      </c>
      <c r="J190" s="25">
        <f t="shared" si="10"/>
        <v>-0.15779908603428691</v>
      </c>
    </row>
    <row r="191" spans="1:10" ht="16" x14ac:dyDescent="0.2">
      <c r="A191" s="3" t="s">
        <v>178</v>
      </c>
      <c r="B191" s="4" t="s">
        <v>15</v>
      </c>
      <c r="C191" s="4">
        <v>-83097000</v>
      </c>
      <c r="D191" s="4">
        <v>972640000</v>
      </c>
      <c r="E191" s="4">
        <v>-162240000</v>
      </c>
      <c r="F191" s="5">
        <v>-179067000</v>
      </c>
      <c r="G191" s="4">
        <v>-42796000</v>
      </c>
      <c r="H191" s="4">
        <v>-28084000</v>
      </c>
      <c r="I191" s="4">
        <v>-78318000</v>
      </c>
      <c r="J191" s="4">
        <v>-29869000</v>
      </c>
    </row>
    <row r="192" spans="1:10" ht="16" x14ac:dyDescent="0.2">
      <c r="A192" s="3" t="s">
        <v>179</v>
      </c>
      <c r="B192" s="6">
        <v>-0.32</v>
      </c>
      <c r="C192" s="6">
        <v>-0.37</v>
      </c>
      <c r="D192" s="6">
        <v>-0.57999999999999996</v>
      </c>
      <c r="E192" s="6">
        <v>-0.57999999999999996</v>
      </c>
      <c r="F192" s="7">
        <v>-0.62</v>
      </c>
      <c r="G192" s="6">
        <v>-0.15</v>
      </c>
      <c r="H192" s="6">
        <v>-0.1</v>
      </c>
      <c r="I192" s="6">
        <v>-0.27</v>
      </c>
      <c r="J192" s="6">
        <v>-0.1</v>
      </c>
    </row>
    <row r="193" spans="1:10" ht="16" x14ac:dyDescent="0.2">
      <c r="A193" s="3" t="s">
        <v>180</v>
      </c>
      <c r="B193" s="4" t="s">
        <v>15</v>
      </c>
      <c r="C193" s="4" t="s">
        <v>15</v>
      </c>
      <c r="D193" s="6">
        <v>-141.74</v>
      </c>
      <c r="E193" s="6">
        <v>-40.659999999999997</v>
      </c>
      <c r="F193" s="7">
        <v>-59.38</v>
      </c>
      <c r="G193" s="6">
        <v>-43.28</v>
      </c>
      <c r="H193" s="6">
        <v>-40.42</v>
      </c>
      <c r="I193" s="6">
        <v>-38.630000000000003</v>
      </c>
      <c r="J193" s="6">
        <v>-59.02</v>
      </c>
    </row>
    <row r="194" spans="1:10" ht="16" x14ac:dyDescent="0.2">
      <c r="A194" s="3" t="s">
        <v>181</v>
      </c>
      <c r="B194" s="6">
        <v>0.72</v>
      </c>
      <c r="C194" s="6">
        <v>0.36</v>
      </c>
      <c r="D194" s="6">
        <v>0.31</v>
      </c>
      <c r="E194" s="6">
        <v>0.35</v>
      </c>
      <c r="F194" s="7">
        <v>0.37</v>
      </c>
      <c r="G194" s="6">
        <v>0.36</v>
      </c>
      <c r="H194" s="6">
        <v>0.26</v>
      </c>
      <c r="I194" s="6">
        <v>0.51</v>
      </c>
      <c r="J194" s="6">
        <v>0.28000000000000003</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95 A130:J142 A144:J171 A188 A184:J187 A183:G183 I183:J183 A173:J182 A172:E172 G172:J172 A106:J128 A105 C105:J105 A97:J104 A96 C96:J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E294-3CD4-5647-9D39-63AC53FB5A1F}">
  <dimension ref="A1:P110"/>
  <sheetViews>
    <sheetView tabSelected="1" workbookViewId="0">
      <selection activeCell="H21" sqref="H21"/>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thickBot="1" x14ac:dyDescent="0.25">
      <c r="A2" s="112"/>
      <c r="B2" s="112"/>
      <c r="C2" s="112"/>
      <c r="D2" s="112"/>
      <c r="E2" s="112"/>
      <c r="F2" s="112"/>
      <c r="G2" s="112"/>
      <c r="H2" s="112"/>
      <c r="I2" s="112"/>
      <c r="J2" s="112"/>
      <c r="K2" s="112"/>
      <c r="L2" s="112"/>
      <c r="M2" s="112"/>
      <c r="N2" s="112"/>
      <c r="O2" s="112"/>
      <c r="P2" s="112"/>
    </row>
    <row r="3" spans="1:16" ht="22" customHeight="1" x14ac:dyDescent="0.2">
      <c r="A3" s="83" cm="1">
        <f t="array" ref="A3">_FV(A1,"Market cap",TRUE)</f>
        <v>5200010439</v>
      </c>
      <c r="B3" s="84" t="s">
        <v>192</v>
      </c>
      <c r="C3" s="85">
        <f>Financials!F8*0.01</f>
        <v>0.67370000000000008</v>
      </c>
      <c r="D3" s="84" t="s">
        <v>193</v>
      </c>
      <c r="E3" s="85">
        <f>SUM(C11:E11)/3</f>
        <v>0.57647020041506292</v>
      </c>
      <c r="F3" s="86" t="s">
        <v>194</v>
      </c>
      <c r="G3" s="87">
        <f>AVERAGE(Financials!C129:F129)</f>
        <v>4.6047373947046277E-2</v>
      </c>
      <c r="H3" s="86" t="s">
        <v>195</v>
      </c>
      <c r="I3" s="88">
        <f>J15*(1+I7)/(I6-I7)</f>
        <v>3709732368.2906032</v>
      </c>
      <c r="J3" s="89" t="s">
        <v>196</v>
      </c>
      <c r="K3" s="90">
        <f>(Financials!F172*-1)/Model!A3</f>
        <v>0</v>
      </c>
      <c r="L3" s="91" t="s">
        <v>203</v>
      </c>
      <c r="M3" s="34"/>
      <c r="N3" s="114" t="s">
        <v>197</v>
      </c>
      <c r="O3" s="115"/>
      <c r="P3" s="34"/>
    </row>
    <row r="4" spans="1:16" ht="22" customHeight="1" x14ac:dyDescent="0.2">
      <c r="A4" s="92">
        <f>Financials!F56-Financials!F96-Financials!F105</f>
        <v>732154000</v>
      </c>
      <c r="B4" s="67" t="s">
        <v>198</v>
      </c>
      <c r="C4" s="36">
        <f>Financials!F17*0.01</f>
        <v>-0.70909999999999995</v>
      </c>
      <c r="D4" s="67" t="s">
        <v>199</v>
      </c>
      <c r="E4" s="36">
        <f>SUM(C13:E13)/3</f>
        <v>0.74329472146449538</v>
      </c>
      <c r="F4" s="66" t="s">
        <v>200</v>
      </c>
      <c r="G4" s="71">
        <f>A5*(1+(5*G3))</f>
        <v>378759299.29342139</v>
      </c>
      <c r="H4" s="66" t="s">
        <v>201</v>
      </c>
      <c r="I4" s="35">
        <f>NPV(I6,F15,G15,H15,I15,(J15+I3))</f>
        <v>2565617191.3161449</v>
      </c>
      <c r="J4" s="66" t="s">
        <v>202</v>
      </c>
      <c r="K4" s="68" cm="1">
        <f t="array" ref="K4">_FV(A1,"Change (%)",TRUE)</f>
        <v>-5.1124000000000003E-2</v>
      </c>
      <c r="L4" s="93" t="s">
        <v>242</v>
      </c>
      <c r="M4" s="34"/>
      <c r="N4" s="116" t="s">
        <v>204</v>
      </c>
      <c r="O4" s="117"/>
      <c r="P4" s="34"/>
    </row>
    <row r="5" spans="1:16" ht="22" customHeight="1" x14ac:dyDescent="0.2">
      <c r="A5" s="92" cm="1">
        <f t="array" ref="A5">_FV(A1,"Shares outstanding",TRUE)</f>
        <v>307875100</v>
      </c>
      <c r="B5" s="67" t="s">
        <v>205</v>
      </c>
      <c r="C5" s="36">
        <f>Financials!F34*0.01</f>
        <v>-0.6987000000000001</v>
      </c>
      <c r="D5" s="67" t="s">
        <v>206</v>
      </c>
      <c r="E5" s="36">
        <f>SUM(C16:E16)/3</f>
        <v>0.32245933399697596</v>
      </c>
      <c r="F5" s="66" t="s">
        <v>207</v>
      </c>
      <c r="G5" s="71">
        <f>Financials!F56</f>
        <v>1847555000</v>
      </c>
      <c r="H5" s="66" t="s">
        <v>208</v>
      </c>
      <c r="I5" s="35">
        <f>I4+G5-G6</f>
        <v>3297771191.3161449</v>
      </c>
      <c r="J5" s="66" t="s">
        <v>209</v>
      </c>
      <c r="K5" s="69" cm="1">
        <f t="array" ref="K5">_FV(A1,"Price")</f>
        <v>16.89</v>
      </c>
      <c r="L5" s="94" t="s">
        <v>210</v>
      </c>
      <c r="M5" s="34"/>
      <c r="N5" s="72" t="s">
        <v>211</v>
      </c>
      <c r="O5" s="73">
        <f>Financials!F20</f>
        <v>-3147000</v>
      </c>
      <c r="P5" s="34"/>
    </row>
    <row r="6" spans="1:16" ht="22" customHeight="1" x14ac:dyDescent="0.2">
      <c r="A6" s="95">
        <f>O20/F10</f>
        <v>6.7532603103896101</v>
      </c>
      <c r="B6" s="67" t="s">
        <v>212</v>
      </c>
      <c r="C6" s="36">
        <f>Financials!F190</f>
        <v>-0.26179960086844012</v>
      </c>
      <c r="D6" s="67" t="s">
        <v>191</v>
      </c>
      <c r="E6" s="36">
        <f>Financials!F33/Financials!F126</f>
        <v>-0.62768818969615936</v>
      </c>
      <c r="F6" s="67" t="s">
        <v>213</v>
      </c>
      <c r="G6" s="71">
        <f>Financials!F96+Financials!F105</f>
        <v>1115401000</v>
      </c>
      <c r="H6" s="66" t="s">
        <v>214</v>
      </c>
      <c r="I6" s="68">
        <f>N25</f>
        <v>0.11535018344313724</v>
      </c>
      <c r="J6" s="66" t="s">
        <v>215</v>
      </c>
      <c r="K6" s="70">
        <f>I5/G4</f>
        <v>8.7067728699154436</v>
      </c>
      <c r="L6" s="96" t="s">
        <v>216</v>
      </c>
      <c r="M6" s="34"/>
      <c r="N6" s="72" t="s">
        <v>217</v>
      </c>
      <c r="O6" s="73">
        <f>Financials!F96</f>
        <v>7618000</v>
      </c>
      <c r="P6" s="34"/>
    </row>
    <row r="7" spans="1:16" ht="22" customHeight="1" thickBot="1" x14ac:dyDescent="0.25">
      <c r="A7" s="97">
        <f>O20/F12</f>
        <v>260.00052195000001</v>
      </c>
      <c r="B7" s="98" t="s">
        <v>218</v>
      </c>
      <c r="C7" s="99">
        <f>F15/A3</f>
        <v>-5.7692191875232503E-3</v>
      </c>
      <c r="D7" s="98" t="s">
        <v>219</v>
      </c>
      <c r="E7" s="100">
        <f>(Financials!F16*(1-0.25))/(Financials!F126+Financials!F105+Financials!F96)</f>
        <v>-0.19382367311794038</v>
      </c>
      <c r="F7" s="98" t="s">
        <v>187</v>
      </c>
      <c r="G7" s="101">
        <f>(Financials!F96+Financials!F105)/Financials!F126</f>
        <v>1.4649612680033517</v>
      </c>
      <c r="H7" s="102" t="s">
        <v>220</v>
      </c>
      <c r="I7" s="103">
        <v>2.5000000000000001E-2</v>
      </c>
      <c r="J7" s="104" t="s">
        <v>221</v>
      </c>
      <c r="K7" s="105">
        <f>K6/K5-1</f>
        <v>-0.48450131024775345</v>
      </c>
      <c r="L7" s="106" t="s">
        <v>222</v>
      </c>
      <c r="M7" s="34"/>
      <c r="N7" s="72" t="s">
        <v>223</v>
      </c>
      <c r="O7" s="73">
        <f>Financials!F105</f>
        <v>1107783000</v>
      </c>
      <c r="P7" s="34"/>
    </row>
    <row r="8" spans="1:16" ht="22" customHeight="1" x14ac:dyDescent="0.2">
      <c r="A8" s="65"/>
      <c r="B8" s="34"/>
      <c r="C8" s="34"/>
      <c r="D8" s="34"/>
      <c r="E8" s="34"/>
      <c r="F8" s="34"/>
      <c r="G8" s="34"/>
      <c r="H8" s="34"/>
      <c r="I8" s="34"/>
      <c r="J8" s="37"/>
      <c r="K8" s="37"/>
      <c r="L8" s="37"/>
      <c r="M8" s="34"/>
      <c r="N8" s="74" t="s">
        <v>204</v>
      </c>
      <c r="O8" s="75">
        <f>O5/(O6+O7)</f>
        <v>-2.8214068303686296E-3</v>
      </c>
      <c r="P8" s="34"/>
    </row>
    <row r="9" spans="1:16" ht="22" customHeight="1" x14ac:dyDescent="0.2">
      <c r="A9" s="55"/>
      <c r="B9" s="56">
        <v>2019</v>
      </c>
      <c r="C9" s="56">
        <v>2020</v>
      </c>
      <c r="D9" s="56">
        <v>2021</v>
      </c>
      <c r="E9" s="57">
        <v>2022</v>
      </c>
      <c r="F9" s="54">
        <v>2023</v>
      </c>
      <c r="G9" s="62">
        <v>2024</v>
      </c>
      <c r="H9" s="62">
        <v>2025</v>
      </c>
      <c r="I9" s="62">
        <v>2026</v>
      </c>
      <c r="J9" s="63">
        <v>2027</v>
      </c>
      <c r="K9" s="37"/>
      <c r="L9" s="37"/>
      <c r="M9" s="37"/>
      <c r="N9" s="72" t="s">
        <v>224</v>
      </c>
      <c r="O9" s="73">
        <f>Financials!F25</f>
        <v>7408000</v>
      </c>
      <c r="P9" s="34"/>
    </row>
    <row r="10" spans="1:16" ht="22" customHeight="1" x14ac:dyDescent="0.2">
      <c r="A10" s="50" t="s">
        <v>225</v>
      </c>
      <c r="B10" s="51">
        <v>149805000</v>
      </c>
      <c r="C10" s="51">
        <v>236577000</v>
      </c>
      <c r="D10" s="51">
        <v>387864000</v>
      </c>
      <c r="E10" s="53">
        <v>585944000</v>
      </c>
      <c r="F10" s="51">
        <v>770000000</v>
      </c>
      <c r="G10" s="51">
        <v>980000000</v>
      </c>
      <c r="H10" s="51">
        <v>1220000000</v>
      </c>
      <c r="I10" s="51">
        <v>1582000000</v>
      </c>
      <c r="J10" s="53">
        <v>1981000000</v>
      </c>
      <c r="K10" s="58" t="s">
        <v>226</v>
      </c>
      <c r="L10" s="37"/>
      <c r="N10" s="72" t="s">
        <v>227</v>
      </c>
      <c r="O10" s="73">
        <f>Financials!F24</f>
        <v>-470505000</v>
      </c>
      <c r="P10" s="34"/>
    </row>
    <row r="11" spans="1:16" ht="22" customHeight="1" x14ac:dyDescent="0.2">
      <c r="A11" s="45"/>
      <c r="B11" s="38"/>
      <c r="C11" s="38">
        <f t="shared" ref="C11:J11" si="0">(C10/B10)-1</f>
        <v>0.57923300290377489</v>
      </c>
      <c r="D11" s="38">
        <f t="shared" si="0"/>
        <v>0.6394831281147364</v>
      </c>
      <c r="E11" s="38">
        <f t="shared" si="0"/>
        <v>0.51069447022667736</v>
      </c>
      <c r="F11" s="39">
        <f t="shared" si="0"/>
        <v>0.31411875537594036</v>
      </c>
      <c r="G11" s="38">
        <f t="shared" si="0"/>
        <v>0.27272727272727271</v>
      </c>
      <c r="H11" s="38">
        <f t="shared" si="0"/>
        <v>0.24489795918367352</v>
      </c>
      <c r="I11" s="38">
        <f t="shared" si="0"/>
        <v>0.29672131147540992</v>
      </c>
      <c r="J11" s="59">
        <f t="shared" si="0"/>
        <v>0.25221238938053103</v>
      </c>
      <c r="K11" s="59">
        <f>SUM(F11:J11)/5</f>
        <v>0.27613553762856552</v>
      </c>
      <c r="L11" s="37"/>
      <c r="M11" s="37"/>
      <c r="N11" s="72" t="s">
        <v>228</v>
      </c>
      <c r="O11" s="76">
        <f>O9/O10</f>
        <v>-1.5744784858821904E-2</v>
      </c>
      <c r="P11" s="34"/>
    </row>
    <row r="12" spans="1:16" ht="22" customHeight="1" x14ac:dyDescent="0.2">
      <c r="A12" s="50" t="s">
        <v>133</v>
      </c>
      <c r="B12" s="51">
        <v>-95042000</v>
      </c>
      <c r="C12" s="51">
        <v>-229828000</v>
      </c>
      <c r="D12" s="51">
        <v>-342801000</v>
      </c>
      <c r="E12" s="51">
        <v>-452551000</v>
      </c>
      <c r="F12" s="52">
        <v>20000000</v>
      </c>
      <c r="G12" s="51">
        <v>67624000</v>
      </c>
      <c r="H12" s="51">
        <v>130000000</v>
      </c>
      <c r="I12" s="51">
        <v>219000000</v>
      </c>
      <c r="J12" s="53">
        <v>392000000</v>
      </c>
      <c r="K12" s="60" t="s">
        <v>229</v>
      </c>
      <c r="L12" s="37"/>
      <c r="M12" s="37"/>
      <c r="N12" s="72" t="s">
        <v>230</v>
      </c>
      <c r="O12" s="76">
        <f>O8*(1-O11)</f>
        <v>-2.8658292739119945E-3</v>
      </c>
      <c r="P12" s="34"/>
    </row>
    <row r="13" spans="1:16" ht="22" customHeight="1" x14ac:dyDescent="0.2">
      <c r="A13" s="45"/>
      <c r="B13" s="38"/>
      <c r="C13" s="38">
        <f t="shared" ref="C13:J13" si="1">(C12/B12)-1</f>
        <v>1.4181730182445658</v>
      </c>
      <c r="D13" s="38">
        <f t="shared" si="1"/>
        <v>0.49155455384026325</v>
      </c>
      <c r="E13" s="38">
        <f t="shared" si="1"/>
        <v>0.32015659230865712</v>
      </c>
      <c r="F13" s="39">
        <f t="shared" si="1"/>
        <v>-1.0441939140560954</v>
      </c>
      <c r="G13" s="38">
        <f t="shared" si="1"/>
        <v>2.3812000000000002</v>
      </c>
      <c r="H13" s="38">
        <f t="shared" si="1"/>
        <v>0.92239441618360352</v>
      </c>
      <c r="I13" s="38">
        <f t="shared" si="1"/>
        <v>0.68461538461538463</v>
      </c>
      <c r="J13" s="59">
        <f t="shared" si="1"/>
        <v>0.78995433789954328</v>
      </c>
      <c r="K13" s="59">
        <f>SUM(F13:J13)/5</f>
        <v>0.74679404492848722</v>
      </c>
      <c r="L13" s="37"/>
      <c r="M13" s="37"/>
      <c r="N13" s="116" t="s">
        <v>231</v>
      </c>
      <c r="O13" s="117"/>
      <c r="P13" s="34"/>
    </row>
    <row r="14" spans="1:16" ht="22" customHeight="1" x14ac:dyDescent="0.2">
      <c r="A14" s="107" t="s">
        <v>243</v>
      </c>
      <c r="B14" s="42">
        <f>B12/B10</f>
        <v>-0.63443810286706048</v>
      </c>
      <c r="C14" s="42">
        <f t="shared" ref="C14:J14" si="2">C12/C10</f>
        <v>-0.97147229020572579</v>
      </c>
      <c r="D14" s="42">
        <f t="shared" si="2"/>
        <v>-0.88381752366808985</v>
      </c>
      <c r="E14" s="42">
        <f t="shared" si="2"/>
        <v>-0.77234513878459377</v>
      </c>
      <c r="F14" s="43">
        <f t="shared" si="2"/>
        <v>2.5974025974025976E-2</v>
      </c>
      <c r="G14" s="42">
        <f t="shared" si="2"/>
        <v>6.9004081632653064E-2</v>
      </c>
      <c r="H14" s="42">
        <f t="shared" si="2"/>
        <v>0.10655737704918032</v>
      </c>
      <c r="I14" s="42">
        <f t="shared" si="2"/>
        <v>0.13843236409608092</v>
      </c>
      <c r="J14" s="44">
        <f t="shared" si="2"/>
        <v>0.19787985865724381</v>
      </c>
      <c r="K14" s="44"/>
      <c r="L14" s="37"/>
      <c r="M14" s="37"/>
      <c r="N14" s="72" t="s">
        <v>233</v>
      </c>
      <c r="O14" s="76">
        <f>'[1]US Treasury Bonds'!$C$8</f>
        <v>4.5710000000000001E-2</v>
      </c>
      <c r="P14" s="34"/>
    </row>
    <row r="15" spans="1:16" ht="22" customHeight="1" x14ac:dyDescent="0.2">
      <c r="A15" s="50" t="s">
        <v>176</v>
      </c>
      <c r="B15" s="51">
        <v>-70788000</v>
      </c>
      <c r="C15" s="51">
        <v>-83097000</v>
      </c>
      <c r="D15" s="51">
        <v>-108660000</v>
      </c>
      <c r="E15" s="51">
        <v>-161454000</v>
      </c>
      <c r="F15" s="52">
        <v>-30000000</v>
      </c>
      <c r="G15" s="51">
        <v>46000000</v>
      </c>
      <c r="H15" s="51">
        <v>109000000</v>
      </c>
      <c r="I15" s="51">
        <v>214000000</v>
      </c>
      <c r="J15" s="53">
        <v>327000000</v>
      </c>
      <c r="K15" s="60" t="s">
        <v>232</v>
      </c>
      <c r="L15" s="37"/>
      <c r="M15" s="37"/>
      <c r="N15" s="72" t="s">
        <v>234</v>
      </c>
      <c r="O15" s="77" cm="1">
        <f t="array" ref="O15">_FV(A1,"Beta")</f>
        <v>2.4809999999999999</v>
      </c>
      <c r="P15" s="34"/>
    </row>
    <row r="16" spans="1:16" ht="22" customHeight="1" x14ac:dyDescent="0.2">
      <c r="A16" s="46"/>
      <c r="B16" s="38"/>
      <c r="C16" s="38">
        <f t="shared" ref="C16:J16" si="3">(C15/B15)-1</f>
        <v>0.17388540430581445</v>
      </c>
      <c r="D16" s="38">
        <f t="shared" si="3"/>
        <v>0.30762843423950326</v>
      </c>
      <c r="E16" s="38">
        <f t="shared" si="3"/>
        <v>0.48586416344561023</v>
      </c>
      <c r="F16" s="39">
        <f t="shared" si="3"/>
        <v>-0.8141885614478428</v>
      </c>
      <c r="G16" s="38">
        <f t="shared" si="3"/>
        <v>-2.5333333333333332</v>
      </c>
      <c r="H16" s="38">
        <f t="shared" si="3"/>
        <v>1.3695652173913042</v>
      </c>
      <c r="I16" s="38">
        <f t="shared" si="3"/>
        <v>0.96330275229357798</v>
      </c>
      <c r="J16" s="59">
        <f t="shared" si="3"/>
        <v>0.52803738317756999</v>
      </c>
      <c r="K16" s="59">
        <f>SUM(F16:J16)/5</f>
        <v>-9.7323308383744728E-2</v>
      </c>
      <c r="L16" s="37"/>
      <c r="M16" s="37"/>
      <c r="N16" s="72" t="s">
        <v>235</v>
      </c>
      <c r="O16" s="76">
        <v>8.4000000000000005E-2</v>
      </c>
      <c r="P16" s="34"/>
    </row>
    <row r="17" spans="1:16" ht="22" customHeight="1" x14ac:dyDescent="0.2">
      <c r="A17" s="107" t="s">
        <v>191</v>
      </c>
      <c r="B17" s="42">
        <f>B15/B10</f>
        <v>-0.47253429458295787</v>
      </c>
      <c r="C17" s="42">
        <f t="shared" ref="C17:J17" si="4">C15/C10</f>
        <v>-0.35124716265740119</v>
      </c>
      <c r="D17" s="42">
        <f t="shared" si="4"/>
        <v>-0.28014974320895986</v>
      </c>
      <c r="E17" s="44">
        <f t="shared" si="4"/>
        <v>-0.27554510328632087</v>
      </c>
      <c r="F17" s="42">
        <f t="shared" si="4"/>
        <v>-3.896103896103896E-2</v>
      </c>
      <c r="G17" s="42">
        <f t="shared" si="4"/>
        <v>4.6938775510204082E-2</v>
      </c>
      <c r="H17" s="42">
        <f t="shared" si="4"/>
        <v>8.9344262295081966E-2</v>
      </c>
      <c r="I17" s="42">
        <f t="shared" si="4"/>
        <v>0.13527180783817952</v>
      </c>
      <c r="J17" s="44">
        <f t="shared" si="4"/>
        <v>0.16506814740030287</v>
      </c>
      <c r="K17" s="44"/>
      <c r="L17" s="37"/>
      <c r="M17" s="37"/>
      <c r="N17" s="81" t="s">
        <v>231</v>
      </c>
      <c r="O17" s="82">
        <f>(O14)+((O15)*(O16-O14))</f>
        <v>0.14070748999999999</v>
      </c>
      <c r="P17" s="34"/>
    </row>
    <row r="18" spans="1:16" ht="22" customHeight="1" x14ac:dyDescent="0.2">
      <c r="A18" s="47" t="s">
        <v>187</v>
      </c>
      <c r="B18" s="48">
        <v>0.56269644017894693</v>
      </c>
      <c r="C18" s="48">
        <v>0.68495732755750693</v>
      </c>
      <c r="D18" s="48">
        <v>-0.12917479561206838</v>
      </c>
      <c r="E18" s="48">
        <v>-0.1839425959772869</v>
      </c>
      <c r="F18" s="49"/>
      <c r="G18" s="48"/>
      <c r="H18" s="48"/>
      <c r="I18" s="48"/>
      <c r="J18" s="64"/>
      <c r="K18" s="61"/>
      <c r="L18" s="37"/>
      <c r="M18" s="37"/>
      <c r="N18" s="116" t="s">
        <v>236</v>
      </c>
      <c r="O18" s="117"/>
      <c r="P18" s="34"/>
    </row>
    <row r="19" spans="1:16" ht="22" customHeight="1" x14ac:dyDescent="0.2">
      <c r="A19" s="37"/>
      <c r="B19" s="37"/>
      <c r="C19" s="37"/>
      <c r="D19" s="37"/>
      <c r="E19" s="37"/>
      <c r="F19" s="37" t="s">
        <v>237</v>
      </c>
      <c r="G19" s="37"/>
      <c r="H19" s="37"/>
      <c r="I19" s="37"/>
      <c r="J19" s="37"/>
      <c r="K19" s="37"/>
      <c r="L19" s="37"/>
      <c r="M19" s="37"/>
      <c r="N19" s="72" t="s">
        <v>214</v>
      </c>
      <c r="O19" s="78">
        <f>O6+O7</f>
        <v>1115401000</v>
      </c>
      <c r="P19" s="34"/>
    </row>
    <row r="20" spans="1:16" ht="22" customHeight="1" x14ac:dyDescent="0.2">
      <c r="B20" s="41"/>
      <c r="C20" s="41"/>
      <c r="D20" s="41"/>
      <c r="E20" s="41"/>
      <c r="F20" s="37"/>
      <c r="G20" s="37"/>
      <c r="H20" s="37"/>
      <c r="I20" s="37"/>
      <c r="J20" s="37"/>
      <c r="K20" s="37"/>
      <c r="L20" s="37"/>
      <c r="M20" s="37"/>
      <c r="N20" s="72" t="s">
        <v>192</v>
      </c>
      <c r="O20" s="78">
        <f>A3</f>
        <v>5200010439</v>
      </c>
      <c r="P20" s="34"/>
    </row>
    <row r="21" spans="1:16" ht="22" customHeight="1" x14ac:dyDescent="0.2">
      <c r="A21" s="118" t="str" cm="1">
        <f t="array" ref="A21">_FV(A1,"Industry")</f>
        <v>Software &amp; IT Services</v>
      </c>
      <c r="B21" s="118"/>
      <c r="C21" s="119" cm="1">
        <f t="array" ref="C21">_FV(A1,"Year incorporated",TRUE)</f>
        <v>2014</v>
      </c>
      <c r="D21" s="119"/>
      <c r="E21" s="41"/>
      <c r="F21" s="37"/>
      <c r="G21" s="37"/>
      <c r="H21" s="37"/>
      <c r="I21" s="37"/>
      <c r="J21" s="37"/>
      <c r="K21" s="37"/>
      <c r="M21" s="37"/>
      <c r="N21" s="72" t="s">
        <v>238</v>
      </c>
      <c r="O21" s="78">
        <f>O19+O20</f>
        <v>6315411439</v>
      </c>
      <c r="P21" s="34"/>
    </row>
    <row r="22" spans="1:16" ht="22" customHeight="1" x14ac:dyDescent="0.2">
      <c r="A22" s="118" t="str" cm="1">
        <f t="array" ref="A22">_FV(A1,"Description")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B22" s="118"/>
      <c r="C22" s="118"/>
      <c r="D22" s="118"/>
      <c r="E22" s="118"/>
      <c r="F22" s="37"/>
      <c r="G22" s="37"/>
      <c r="H22" s="37"/>
      <c r="I22" s="37"/>
      <c r="J22" s="37"/>
      <c r="K22" s="37"/>
      <c r="L22" s="37"/>
      <c r="M22" s="37"/>
      <c r="N22" s="74" t="s">
        <v>239</v>
      </c>
      <c r="O22" s="79">
        <f>(O19/O21)</f>
        <v>0.17661572975467388</v>
      </c>
      <c r="P22" s="34"/>
    </row>
    <row r="23" spans="1:16" ht="22" customHeight="1" x14ac:dyDescent="0.2">
      <c r="A23" s="118"/>
      <c r="B23" s="118"/>
      <c r="C23" s="118"/>
      <c r="D23" s="118"/>
      <c r="E23" s="118"/>
      <c r="F23" s="37"/>
      <c r="G23" s="37"/>
      <c r="H23" s="37"/>
      <c r="I23" s="37"/>
      <c r="J23" s="37"/>
      <c r="K23" s="37"/>
      <c r="L23" s="37"/>
      <c r="M23" s="37"/>
      <c r="N23" s="81" t="s">
        <v>240</v>
      </c>
      <c r="O23" s="80">
        <f>O20/O21</f>
        <v>0.82338427024532612</v>
      </c>
      <c r="P23" s="34"/>
    </row>
    <row r="24" spans="1:16" ht="22" customHeight="1" x14ac:dyDescent="0.2">
      <c r="A24" s="118"/>
      <c r="B24" s="118"/>
      <c r="C24" s="118"/>
      <c r="D24" s="118"/>
      <c r="E24" s="118"/>
      <c r="F24" s="37"/>
      <c r="G24" s="37"/>
      <c r="H24" s="37"/>
      <c r="I24" s="37"/>
      <c r="J24" s="37"/>
      <c r="K24" s="37"/>
      <c r="L24" s="37"/>
      <c r="M24" s="37"/>
      <c r="N24" s="108" t="s">
        <v>241</v>
      </c>
      <c r="O24" s="109"/>
      <c r="P24" s="34"/>
    </row>
    <row r="25" spans="1:16" ht="22" customHeight="1" x14ac:dyDescent="0.2">
      <c r="A25" s="118"/>
      <c r="B25" s="118"/>
      <c r="C25" s="118"/>
      <c r="D25" s="118"/>
      <c r="E25" s="118"/>
      <c r="F25" s="37"/>
      <c r="G25" s="37"/>
      <c r="H25" s="37"/>
      <c r="I25" s="37"/>
      <c r="J25" s="37"/>
      <c r="K25" s="37"/>
      <c r="L25" s="37"/>
      <c r="M25" s="37"/>
      <c r="N25" s="110">
        <f>(O22*O12)+(O23*O17)</f>
        <v>0.11535018344313724</v>
      </c>
      <c r="O25" s="111"/>
      <c r="P25" s="34"/>
    </row>
    <row r="26" spans="1:16" ht="22" customHeight="1" x14ac:dyDescent="0.2">
      <c r="A26" s="118"/>
      <c r="B26" s="118"/>
      <c r="C26" s="118"/>
      <c r="D26" s="118"/>
      <c r="E26" s="118"/>
      <c r="F26" s="37"/>
      <c r="G26" s="37"/>
      <c r="H26" s="37"/>
      <c r="I26" s="37"/>
      <c r="J26" s="37"/>
      <c r="K26" s="37"/>
      <c r="L26" s="37"/>
      <c r="M26" s="37"/>
      <c r="N26" s="37"/>
      <c r="O26" s="34"/>
      <c r="P26" s="34"/>
    </row>
    <row r="27" spans="1:16" ht="22" customHeight="1" x14ac:dyDescent="0.2">
      <c r="A27" s="118"/>
      <c r="B27" s="118"/>
      <c r="C27" s="118"/>
      <c r="D27" s="118"/>
      <c r="E27" s="118"/>
      <c r="F27" s="37"/>
      <c r="G27" s="37"/>
      <c r="H27" s="37"/>
      <c r="I27" s="37"/>
      <c r="J27" s="37"/>
      <c r="K27" s="37"/>
      <c r="L27" s="37"/>
      <c r="M27" s="37"/>
      <c r="N27" s="37"/>
      <c r="O27" s="34"/>
      <c r="P27" s="34"/>
    </row>
    <row r="28" spans="1:16" ht="22" customHeight="1" x14ac:dyDescent="0.2">
      <c r="A28" s="118"/>
      <c r="B28" s="118"/>
      <c r="C28" s="118"/>
      <c r="D28" s="118"/>
      <c r="E28" s="118"/>
      <c r="F28" s="37"/>
      <c r="G28" s="37"/>
      <c r="H28" s="37"/>
      <c r="I28" s="37"/>
      <c r="J28" s="37"/>
      <c r="K28" s="37"/>
      <c r="L28" s="37"/>
      <c r="M28" s="37"/>
      <c r="N28" s="37"/>
      <c r="O28" s="34"/>
      <c r="P28" s="34"/>
    </row>
    <row r="29" spans="1:16" ht="22" customHeight="1" x14ac:dyDescent="0.2">
      <c r="A29" s="118"/>
      <c r="B29" s="118"/>
      <c r="C29" s="118"/>
      <c r="D29" s="118"/>
      <c r="E29" s="118"/>
      <c r="F29" s="37"/>
      <c r="G29" s="37"/>
      <c r="H29" s="37"/>
      <c r="I29" s="37"/>
      <c r="J29" s="37"/>
      <c r="K29" s="37"/>
      <c r="L29" s="37"/>
      <c r="M29" s="37"/>
      <c r="N29" s="37"/>
      <c r="O29" s="34"/>
      <c r="P29" s="34"/>
    </row>
    <row r="30" spans="1:16" ht="22" customHeight="1" x14ac:dyDescent="0.2">
      <c r="A30" s="118"/>
      <c r="B30" s="118"/>
      <c r="C30" s="118"/>
      <c r="D30" s="118"/>
      <c r="E30" s="118"/>
      <c r="F30" s="37"/>
      <c r="G30" s="37"/>
      <c r="H30" s="37"/>
      <c r="I30" s="37"/>
      <c r="J30" s="37"/>
      <c r="K30" s="37"/>
      <c r="L30" s="37"/>
      <c r="M30" s="37"/>
      <c r="N30" s="37"/>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7"/>
      <c r="B33" s="37"/>
      <c r="C33" s="37"/>
      <c r="D33" s="37"/>
      <c r="E33" s="37"/>
      <c r="F33" s="37"/>
      <c r="G33" s="37"/>
      <c r="H33" s="37"/>
      <c r="I33" s="37"/>
      <c r="J33" s="37"/>
      <c r="K33" s="37"/>
      <c r="L33" s="37"/>
      <c r="M33" s="37"/>
      <c r="N33" s="37"/>
      <c r="O33" s="37"/>
      <c r="P33" s="37"/>
    </row>
    <row r="34" spans="1:16" x14ac:dyDescent="0.2">
      <c r="A34" s="37"/>
      <c r="B34" s="37"/>
      <c r="C34" s="37"/>
      <c r="D34" s="37"/>
      <c r="E34" s="37"/>
      <c r="F34" s="37"/>
      <c r="G34" s="37"/>
      <c r="H34" s="37"/>
      <c r="I34" s="37"/>
      <c r="J34" s="37"/>
      <c r="K34" s="37"/>
      <c r="L34" s="37"/>
      <c r="M34" s="37"/>
      <c r="N34" s="37"/>
      <c r="O34" s="37"/>
      <c r="P34" s="37"/>
    </row>
    <row r="35" spans="1:16" x14ac:dyDescent="0.2">
      <c r="A35" s="37"/>
      <c r="B35" s="37"/>
      <c r="C35" s="37"/>
      <c r="D35" s="37"/>
      <c r="E35" s="37"/>
      <c r="F35" s="37"/>
      <c r="G35" s="37"/>
      <c r="H35" s="37"/>
      <c r="I35" s="37"/>
      <c r="J35" s="37"/>
      <c r="K35" s="37"/>
      <c r="L35" s="37"/>
      <c r="M35" s="37"/>
      <c r="N35" s="37"/>
      <c r="O35" s="37"/>
      <c r="P35" s="37"/>
    </row>
    <row r="36" spans="1:16" x14ac:dyDescent="0.2">
      <c r="A36" s="37"/>
      <c r="B36" s="37"/>
      <c r="C36" s="37"/>
      <c r="D36" s="37"/>
      <c r="E36" s="37"/>
      <c r="F36" s="37"/>
      <c r="G36" s="37"/>
      <c r="H36" s="37"/>
      <c r="I36" s="37"/>
      <c r="J36" s="37"/>
      <c r="K36" s="37"/>
      <c r="L36" s="37"/>
      <c r="M36" s="37"/>
      <c r="N36" s="37"/>
      <c r="O36" s="37"/>
      <c r="P36" s="37"/>
    </row>
    <row r="37" spans="1:16" x14ac:dyDescent="0.2">
      <c r="A37" s="37"/>
      <c r="B37" s="37"/>
      <c r="C37" s="37"/>
      <c r="D37" s="37"/>
      <c r="E37" s="37"/>
      <c r="F37" s="37"/>
      <c r="G37" s="37"/>
      <c r="H37" s="37"/>
      <c r="I37" s="37"/>
      <c r="J37" s="37"/>
      <c r="K37" s="37"/>
      <c r="L37" s="37"/>
      <c r="M37" s="37"/>
      <c r="N37" s="37"/>
      <c r="O37" s="37"/>
      <c r="P37" s="37"/>
    </row>
    <row r="38" spans="1:16" x14ac:dyDescent="0.2">
      <c r="A38" s="37"/>
      <c r="B38" s="37"/>
      <c r="C38" s="37"/>
      <c r="D38" s="37"/>
      <c r="E38" s="37"/>
      <c r="F38" s="37"/>
      <c r="G38" s="37"/>
      <c r="H38" s="37"/>
      <c r="I38" s="37"/>
      <c r="J38" s="37"/>
      <c r="K38" s="37"/>
      <c r="L38" s="37"/>
      <c r="M38" s="37"/>
      <c r="N38" s="37"/>
      <c r="O38" s="37"/>
      <c r="P38" s="37"/>
    </row>
    <row r="39" spans="1:16" x14ac:dyDescent="0.2">
      <c r="A39" s="37"/>
      <c r="B39" s="37"/>
      <c r="C39" s="37"/>
      <c r="D39" s="37"/>
      <c r="E39" s="37"/>
      <c r="F39" s="37"/>
      <c r="G39" s="37"/>
      <c r="H39" s="37"/>
      <c r="I39" s="37"/>
      <c r="J39" s="37"/>
      <c r="K39" s="37"/>
      <c r="L39" s="37"/>
      <c r="M39" s="37"/>
      <c r="N39" s="37"/>
      <c r="O39" s="37"/>
      <c r="P39" s="37"/>
    </row>
    <row r="40" spans="1:16" x14ac:dyDescent="0.2">
      <c r="A40" s="37"/>
      <c r="B40" s="37"/>
      <c r="C40" s="37"/>
      <c r="D40" s="37"/>
      <c r="E40" s="37"/>
      <c r="F40" s="37"/>
      <c r="G40" s="37"/>
      <c r="H40" s="37"/>
      <c r="I40" s="37"/>
      <c r="J40" s="37"/>
      <c r="K40" s="37"/>
      <c r="L40" s="37"/>
      <c r="M40" s="37"/>
      <c r="N40" s="37"/>
      <c r="O40" s="37"/>
      <c r="P40" s="37"/>
    </row>
    <row r="41" spans="1:16" x14ac:dyDescent="0.2">
      <c r="A41" s="37"/>
      <c r="B41" s="37"/>
      <c r="C41" s="37"/>
      <c r="D41" s="37"/>
      <c r="E41" s="37"/>
      <c r="F41" s="37"/>
      <c r="G41" s="37"/>
      <c r="H41" s="37"/>
      <c r="I41" s="37"/>
      <c r="J41" s="37"/>
      <c r="K41" s="37"/>
      <c r="L41" s="37"/>
      <c r="M41" s="37"/>
      <c r="N41" s="37"/>
      <c r="O41" s="37"/>
      <c r="P41" s="37"/>
    </row>
    <row r="42" spans="1:16" x14ac:dyDescent="0.2">
      <c r="A42" s="37"/>
      <c r="B42" s="37"/>
      <c r="C42" s="37"/>
      <c r="D42" s="37"/>
      <c r="E42" s="37"/>
      <c r="F42" s="37"/>
      <c r="G42" s="37"/>
      <c r="H42" s="37"/>
      <c r="I42" s="37"/>
      <c r="J42" s="37"/>
      <c r="K42" s="37"/>
      <c r="L42" s="37"/>
      <c r="M42" s="37"/>
      <c r="N42" s="37"/>
      <c r="O42" s="37"/>
      <c r="P42" s="37"/>
    </row>
    <row r="43" spans="1:16" x14ac:dyDescent="0.2">
      <c r="A43" s="37"/>
      <c r="B43" s="37"/>
      <c r="C43" s="37"/>
      <c r="D43" s="37"/>
      <c r="E43" s="37"/>
      <c r="F43" s="37"/>
      <c r="G43" s="37"/>
      <c r="H43" s="37"/>
      <c r="I43" s="37"/>
      <c r="J43" s="37"/>
      <c r="K43" s="37"/>
      <c r="L43" s="37"/>
      <c r="M43" s="37"/>
      <c r="N43" s="37"/>
      <c r="O43" s="37"/>
      <c r="P43" s="37"/>
    </row>
    <row r="44" spans="1:16" x14ac:dyDescent="0.2">
      <c r="A44" s="37"/>
      <c r="B44" s="37"/>
      <c r="C44" s="37"/>
      <c r="D44" s="37"/>
      <c r="E44" s="37"/>
      <c r="F44" s="37"/>
      <c r="G44" s="37"/>
      <c r="H44" s="37"/>
      <c r="I44" s="37"/>
      <c r="J44" s="37"/>
      <c r="K44" s="37"/>
      <c r="L44" s="37"/>
      <c r="M44" s="37"/>
      <c r="N44" s="37"/>
      <c r="O44" s="37"/>
      <c r="P44" s="37"/>
    </row>
    <row r="45" spans="1:16" x14ac:dyDescent="0.2">
      <c r="A45" s="37"/>
      <c r="B45" s="37"/>
      <c r="C45" s="37"/>
      <c r="D45" s="37"/>
      <c r="E45" s="37"/>
      <c r="F45" s="37"/>
      <c r="G45" s="37"/>
      <c r="H45" s="37"/>
      <c r="I45" s="37"/>
      <c r="J45" s="37"/>
      <c r="K45" s="37"/>
      <c r="L45" s="37"/>
      <c r="M45" s="37"/>
      <c r="N45" s="37"/>
      <c r="O45" s="37"/>
      <c r="P45" s="37"/>
    </row>
    <row r="46" spans="1:16" x14ac:dyDescent="0.2">
      <c r="A46" s="37"/>
      <c r="B46" s="37"/>
      <c r="C46" s="37"/>
      <c r="D46" s="37"/>
      <c r="E46" s="37"/>
      <c r="F46" s="37"/>
      <c r="G46" s="37"/>
      <c r="H46" s="37"/>
      <c r="I46" s="37"/>
      <c r="J46" s="37"/>
      <c r="K46" s="37"/>
      <c r="L46" s="37"/>
      <c r="M46" s="37"/>
      <c r="N46" s="37"/>
      <c r="O46" s="37"/>
      <c r="P46" s="37"/>
    </row>
    <row r="47" spans="1:16" x14ac:dyDescent="0.2">
      <c r="A47" s="37"/>
      <c r="B47" s="37"/>
      <c r="C47" s="37"/>
      <c r="D47" s="37"/>
      <c r="E47" s="37"/>
      <c r="F47" s="37"/>
      <c r="G47" s="37"/>
      <c r="H47" s="37"/>
      <c r="I47" s="37"/>
      <c r="J47" s="37"/>
      <c r="K47" s="37"/>
      <c r="L47" s="37"/>
      <c r="M47" s="37"/>
      <c r="N47" s="37"/>
      <c r="O47" s="37"/>
      <c r="P47" s="37"/>
    </row>
    <row r="48" spans="1:16" x14ac:dyDescent="0.2">
      <c r="A48" s="37"/>
      <c r="B48" s="37"/>
      <c r="C48" s="37"/>
      <c r="D48" s="37"/>
      <c r="E48" s="37"/>
      <c r="F48" s="37"/>
      <c r="G48" s="37"/>
      <c r="H48" s="37"/>
      <c r="I48" s="37"/>
      <c r="J48" s="37"/>
      <c r="K48" s="37"/>
      <c r="L48" s="37"/>
      <c r="M48" s="37"/>
      <c r="N48" s="37"/>
      <c r="O48" s="37"/>
      <c r="P48" s="37"/>
    </row>
    <row r="49" spans="1:16" x14ac:dyDescent="0.2">
      <c r="A49" s="37"/>
      <c r="B49" s="37"/>
      <c r="C49" s="37"/>
      <c r="D49" s="37"/>
      <c r="E49" s="37"/>
      <c r="F49" s="37"/>
      <c r="G49" s="37"/>
      <c r="H49" s="37"/>
      <c r="I49" s="37"/>
      <c r="J49" s="37"/>
      <c r="K49" s="37"/>
      <c r="L49" s="37"/>
      <c r="M49" s="37"/>
      <c r="N49" s="37"/>
      <c r="O49" s="37"/>
      <c r="P49" s="37"/>
    </row>
    <row r="50" spans="1:16" x14ac:dyDescent="0.2">
      <c r="A50" s="37"/>
      <c r="B50" s="37"/>
      <c r="C50" s="37"/>
      <c r="D50" s="37"/>
      <c r="E50" s="37"/>
      <c r="F50" s="37"/>
      <c r="G50" s="37"/>
      <c r="H50" s="37"/>
      <c r="I50" s="37"/>
      <c r="J50" s="37"/>
      <c r="K50" s="37"/>
      <c r="L50" s="37"/>
      <c r="M50" s="37"/>
      <c r="N50" s="37"/>
      <c r="O50" s="37"/>
      <c r="P50" s="37"/>
    </row>
    <row r="51" spans="1:16" x14ac:dyDescent="0.2">
      <c r="A51" s="37"/>
      <c r="B51" s="37"/>
      <c r="C51" s="37"/>
      <c r="D51" s="37"/>
      <c r="E51" s="37"/>
      <c r="F51" s="37"/>
      <c r="G51" s="37"/>
      <c r="H51" s="37"/>
      <c r="I51" s="37"/>
      <c r="J51" s="37"/>
      <c r="K51" s="37"/>
      <c r="L51" s="37"/>
      <c r="M51" s="37"/>
      <c r="N51" s="37"/>
      <c r="O51" s="37"/>
      <c r="P51" s="37"/>
    </row>
    <row r="52" spans="1:16" x14ac:dyDescent="0.2">
      <c r="A52" s="37"/>
      <c r="B52" s="37"/>
      <c r="C52" s="37"/>
      <c r="D52" s="37"/>
      <c r="E52" s="37"/>
      <c r="F52" s="37"/>
      <c r="G52" s="37"/>
      <c r="H52" s="37"/>
      <c r="I52" s="37"/>
      <c r="J52" s="37"/>
      <c r="K52" s="37"/>
      <c r="L52" s="37"/>
      <c r="M52" s="37"/>
      <c r="N52" s="37"/>
      <c r="O52" s="37"/>
      <c r="P52" s="37"/>
    </row>
    <row r="53" spans="1:16" x14ac:dyDescent="0.2">
      <c r="A53" s="37"/>
      <c r="B53" s="37"/>
      <c r="C53" s="37"/>
      <c r="D53" s="37"/>
      <c r="E53" s="37"/>
      <c r="F53" s="37"/>
      <c r="G53" s="37"/>
      <c r="H53" s="37"/>
      <c r="I53" s="37"/>
      <c r="J53" s="37"/>
      <c r="K53" s="37"/>
      <c r="L53" s="37"/>
      <c r="M53" s="37"/>
      <c r="N53" s="37"/>
      <c r="O53" s="37"/>
      <c r="P53" s="37"/>
    </row>
    <row r="54" spans="1:16" x14ac:dyDescent="0.2">
      <c r="A54" s="37"/>
      <c r="B54" s="37"/>
      <c r="C54" s="37"/>
      <c r="D54" s="37"/>
      <c r="E54" s="37"/>
      <c r="F54" s="37"/>
      <c r="G54" s="37"/>
      <c r="H54" s="37"/>
      <c r="I54" s="37"/>
      <c r="J54" s="37"/>
      <c r="K54" s="37"/>
      <c r="L54" s="37"/>
      <c r="M54" s="37"/>
      <c r="N54" s="37"/>
      <c r="O54" s="37"/>
      <c r="P54" s="37"/>
    </row>
    <row r="55" spans="1:16" x14ac:dyDescent="0.2">
      <c r="A55" s="37"/>
      <c r="B55" s="37"/>
      <c r="C55" s="37"/>
      <c r="D55" s="37"/>
      <c r="E55" s="37"/>
      <c r="F55" s="37"/>
      <c r="G55" s="37"/>
      <c r="H55" s="37"/>
      <c r="I55" s="37"/>
      <c r="J55" s="37"/>
      <c r="K55" s="37"/>
      <c r="L55" s="37"/>
      <c r="M55" s="37"/>
      <c r="N55" s="37"/>
      <c r="O55" s="37"/>
      <c r="P55" s="37"/>
    </row>
    <row r="56" spans="1:16" x14ac:dyDescent="0.2">
      <c r="A56" s="37"/>
      <c r="B56" s="37"/>
      <c r="C56" s="37"/>
      <c r="D56" s="37"/>
      <c r="E56" s="37"/>
      <c r="F56" s="37"/>
      <c r="G56" s="37"/>
      <c r="H56" s="37"/>
      <c r="I56" s="37"/>
      <c r="J56" s="37"/>
      <c r="K56" s="37"/>
      <c r="L56" s="37"/>
      <c r="M56" s="37"/>
      <c r="N56" s="37"/>
      <c r="O56" s="37"/>
      <c r="P56" s="37"/>
    </row>
    <row r="57" spans="1:16" x14ac:dyDescent="0.2">
      <c r="A57" s="37"/>
      <c r="B57" s="37"/>
      <c r="C57" s="37"/>
      <c r="D57" s="37"/>
      <c r="E57" s="37"/>
      <c r="F57" s="37"/>
      <c r="G57" s="37"/>
      <c r="H57" s="37"/>
      <c r="I57" s="37"/>
      <c r="J57" s="37"/>
      <c r="K57" s="37"/>
      <c r="L57" s="37"/>
      <c r="M57" s="37"/>
      <c r="N57" s="37"/>
      <c r="O57" s="37"/>
      <c r="P57" s="37"/>
    </row>
    <row r="58" spans="1:16" x14ac:dyDescent="0.2">
      <c r="A58" s="37"/>
      <c r="B58" s="37"/>
      <c r="C58" s="37"/>
      <c r="D58" s="37"/>
      <c r="E58" s="37"/>
      <c r="F58" s="37"/>
      <c r="G58" s="37"/>
      <c r="H58" s="37"/>
      <c r="I58" s="37"/>
      <c r="J58" s="37"/>
      <c r="K58" s="37"/>
      <c r="L58" s="37"/>
      <c r="M58" s="37"/>
      <c r="N58" s="37"/>
      <c r="O58" s="37"/>
      <c r="P58" s="37"/>
    </row>
    <row r="59" spans="1:16" x14ac:dyDescent="0.2">
      <c r="A59" s="37"/>
      <c r="B59" s="37"/>
      <c r="C59" s="37"/>
      <c r="D59" s="37"/>
      <c r="E59" s="37"/>
      <c r="F59" s="37"/>
      <c r="G59" s="37"/>
      <c r="H59" s="37"/>
      <c r="I59" s="37"/>
      <c r="J59" s="37"/>
      <c r="K59" s="37"/>
      <c r="L59" s="37"/>
      <c r="M59" s="37"/>
      <c r="N59" s="37"/>
      <c r="O59" s="37"/>
      <c r="P59" s="37"/>
    </row>
    <row r="60" spans="1:16" x14ac:dyDescent="0.2">
      <c r="A60" s="37"/>
      <c r="B60" s="37"/>
      <c r="C60" s="37"/>
      <c r="D60" s="37"/>
      <c r="E60" s="37"/>
      <c r="F60" s="37"/>
      <c r="G60" s="37"/>
      <c r="H60" s="37"/>
      <c r="I60" s="37"/>
      <c r="J60" s="37"/>
      <c r="K60" s="37"/>
      <c r="L60" s="37"/>
      <c r="M60" s="37"/>
      <c r="N60" s="37"/>
      <c r="O60" s="37"/>
      <c r="P60" s="37"/>
    </row>
    <row r="61" spans="1:16" x14ac:dyDescent="0.2">
      <c r="A61" s="37"/>
      <c r="B61" s="37"/>
      <c r="C61" s="37"/>
      <c r="D61" s="37"/>
      <c r="E61" s="37"/>
      <c r="F61" s="37"/>
      <c r="G61" s="37"/>
      <c r="H61" s="37"/>
      <c r="I61" s="37"/>
      <c r="J61" s="37"/>
      <c r="K61" s="37"/>
      <c r="L61" s="37"/>
      <c r="M61" s="37"/>
      <c r="N61" s="37"/>
      <c r="O61" s="37"/>
      <c r="P61" s="37"/>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CFLT/explorer/revenue_proj" xr:uid="{46B29E1A-F942-8248-87B5-EAF8538307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2023-11-09T23:19:59Z</dcterms:modified>
</cp:coreProperties>
</file>