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7A26149-EA05-A44D-8DCB-1BCA81338F9F}"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2" l="1" a="1"/>
  <c r="A22" i="2" s="1"/>
  <c r="K16" i="2"/>
  <c r="G3" i="2"/>
  <c r="O10" i="2"/>
  <c r="O9" i="2"/>
  <c r="O7" i="2"/>
  <c r="G7" i="2"/>
  <c r="E7" i="2"/>
  <c r="O6" i="2"/>
  <c r="O19" i="2" s="1"/>
  <c r="G6" i="2"/>
  <c r="E6" i="2"/>
  <c r="O5" i="2"/>
  <c r="G5" i="2"/>
  <c r="C4" i="2"/>
  <c r="A4" i="2"/>
  <c r="C3" i="2"/>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K13" i="2" s="1"/>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K3" i="2" s="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H3" i="1"/>
  <c r="H18" i="1"/>
  <c r="H35" i="1"/>
  <c r="J36" i="1"/>
  <c r="I36" i="1"/>
  <c r="H36" i="1"/>
  <c r="G36" i="1"/>
  <c r="F36" i="1"/>
  <c r="E36" i="1"/>
  <c r="D36" i="1"/>
  <c r="C36" i="1"/>
  <c r="B36" i="1"/>
  <c r="J35" i="1"/>
  <c r="I35" i="1"/>
  <c r="F35" i="1"/>
  <c r="E35" i="1"/>
  <c r="D35" i="1"/>
  <c r="C35" i="1"/>
  <c r="J18" i="1"/>
  <c r="I18" i="1"/>
  <c r="F18" i="1"/>
  <c r="E18" i="1"/>
  <c r="D18" i="1"/>
  <c r="C18" i="1"/>
  <c r="J14" i="1"/>
  <c r="I14" i="1"/>
  <c r="H14" i="1"/>
  <c r="G14" i="1"/>
  <c r="F14" i="1"/>
  <c r="E14" i="1"/>
  <c r="D14" i="1"/>
  <c r="C14" i="1"/>
  <c r="B14" i="1"/>
  <c r="J12" i="1"/>
  <c r="I12" i="1"/>
  <c r="H12" i="1"/>
  <c r="G12" i="1"/>
  <c r="F12" i="1"/>
  <c r="E12" i="1"/>
  <c r="D12" i="1"/>
  <c r="C12" i="1"/>
  <c r="B12" i="1"/>
  <c r="J3" i="1"/>
  <c r="I3" i="1"/>
  <c r="F3" i="1"/>
  <c r="E3" i="1"/>
  <c r="D3" i="1"/>
  <c r="C3" i="1"/>
  <c r="K11" i="2" l="1"/>
  <c r="G4" i="2"/>
  <c r="O8" i="2"/>
  <c r="O12" i="2" s="1"/>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<sst xmlns="http://schemas.openxmlformats.org/spreadsheetml/2006/main" count="964" uniqueCount="244">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</sst>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2"/>
    </xf>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164" fontId="11" fillId="6" borderId="2" xfId="0" applyNumberFormat="1" applyFont="1" applyFill="1" applyBorder="1"/>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11" fillId="6" borderId="5" xfId="0" applyFont="1" applyFill="1" applyBorder="1" applyAlignment="1">
      <alignment horizontal="left" vertical="center" indent="1"/>
    </xf>
    <xf numFmtId="164" fontId="11" fillId="6" borderId="5" xfId="0" applyNumberFormat="1" applyFont="1" applyFill="1" applyBorder="1"/>
    <xf numFmtId="9" fontId="11" fillId="6" borderId="5" xfId="0" applyNumberFormat="1" applyFont="1" applyFill="1" applyBorder="1" applyAlignment="1">
      <alignment horizontal="right" vertical="center"/>
    </xf>
    <xf numFmtId="4" fontId="7" fillId="0" borderId="5" xfId="0" applyNumberFormat="1" applyFont="1" applyBorder="1"/>
    <xf numFmtId="4" fontId="8" fillId="5" borderId="5" xfId="0" applyNumberFormat="1" applyFont="1" applyFill="1" applyBorder="1"/>
    <xf numFmtId="0" fontId="3" fillId="0" borderId="5" xfId="0"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7" fillId="12" borderId="12" xfId="0" applyFont="1" applyFill="1" applyBorder="1" applyAlignment="1">
      <alignment horizontal="left" vertical="center" indent="2"/>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https://www.bing.com/financeapi/forcetrigger?t=c27jhw&amp;q=XNAS%3aMNDY&amp;form=skydnc</v>
    <v>Learn more on Bing</v>
  </rv>
  <rv s="1">
    <v>0</v>
    <v>MONDAY.COM LTD (XNAS:MNDY)</v>
    <v>2</v>
    <v>3</v>
    <v>Finance</v>
    <v>4</v>
    <v>en-US</v>
    <v>c27jhw</v>
    <v>268435456</v>
    <v>1</v>
    <v>Powered by Refinitiv</v>
    <v>189.15</v>
    <v>73.58</v>
    <v>-5.44</v>
    <v>-3.8584E-2</v>
    <v>1.45</v>
    <v>1.0697000000000002E-2</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1549</v>
    <v>Nasdaq Stock Market</v>
    <v>XNAS</v>
    <v>XNAS</v>
    <v>6 Yitzhak Sadeh Street, TEL AVIV-YAFO, 677750 IL</v>
    <v>144.97</v>
    <v>Software &amp; IT Services</v>
    <v>Stock</v>
    <v>45240.03145805547</v>
    <v>0</v>
    <v>135.44999999999999</v>
    <v>6544015125</v>
    <v>MONDAY.COM LTD</v>
    <v>MONDAY.COM LTD</v>
    <v>144.55000000000001</v>
    <v>140.99</v>
    <v>135.55000000000001</v>
    <v>137</v>
    <v>48277500</v>
    <v>MNDY</v>
    <v>MONDAY.COM LTD (XNAS:MNDY)</v>
    <v>653774</v>
    <v>762462</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ND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LB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64" workbookViewId="0">
      <pane xSplit="1" topLeftCell="B1" activePane="topRight" state="frozen"/>
      <selection pane="topRight" activeCell="A190" sqref="A190:XFD190"/>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3" t="s">
        <v>9</v>
      </c>
      <c r="B2" s="26">
        <v>78089000</v>
      </c>
      <c r="C2" s="26">
        <v>161123000</v>
      </c>
      <c r="D2" s="26">
        <v>308150000</v>
      </c>
      <c r="E2" s="26">
        <v>519029000</v>
      </c>
      <c r="F2" s="27">
        <v>624749000</v>
      </c>
      <c r="G2" s="26">
        <v>136893000</v>
      </c>
      <c r="H2" s="26">
        <v>149921000</v>
      </c>
      <c r="I2" s="26">
        <v>162256000</v>
      </c>
      <c r="J2" s="26">
        <v>175679000</v>
      </c>
    </row>
    <row r="3" spans="1:10" ht="16" x14ac:dyDescent="0.2">
      <c r="A3" s="28" t="s">
        <v>182</v>
      </c>
      <c r="B3" s="29"/>
      <c r="C3" s="30">
        <f t="shared" ref="C3:J3" si="0">(C2/B2)-1</f>
        <v>1.0633251802430559</v>
      </c>
      <c r="D3" s="30">
        <f t="shared" si="0"/>
        <v>0.91251404206724063</v>
      </c>
      <c r="E3" s="30">
        <f t="shared" si="0"/>
        <v>0.6843387960408891</v>
      </c>
      <c r="F3" s="30">
        <f t="shared" si="0"/>
        <v>0.20368804055264733</v>
      </c>
      <c r="G3" s="30"/>
      <c r="H3" s="30">
        <f t="shared" si="0"/>
        <v>9.5169219755575574E-2</v>
      </c>
      <c r="I3" s="30">
        <f t="shared" si="0"/>
        <v>8.2276665710607544E-2</v>
      </c>
      <c r="J3" s="30">
        <f t="shared" si="0"/>
        <v>8.2727295138546486E-2</v>
      </c>
    </row>
    <row r="4" spans="1:10" ht="16" x14ac:dyDescent="0.2">
      <c r="A4" s="3" t="s">
        <v>10</v>
      </c>
      <c r="B4" s="4">
        <v>78089000</v>
      </c>
      <c r="C4" s="4">
        <v>161123000</v>
      </c>
      <c r="D4" s="4">
        <v>308150000</v>
      </c>
      <c r="E4" s="4">
        <v>519029000</v>
      </c>
      <c r="F4" s="5">
        <v>624749000</v>
      </c>
      <c r="G4" s="4">
        <v>136893000</v>
      </c>
      <c r="H4" s="4">
        <v>149921000</v>
      </c>
      <c r="I4" s="4">
        <v>162256000</v>
      </c>
      <c r="J4" s="4">
        <v>175679000</v>
      </c>
    </row>
    <row r="5" spans="1:10" ht="16" x14ac:dyDescent="0.2">
      <c r="A5" s="3" t="s">
        <v>11</v>
      </c>
      <c r="B5" s="4">
        <v>11978000</v>
      </c>
      <c r="C5" s="4">
        <v>22488000</v>
      </c>
      <c r="D5" s="4">
        <v>39013000</v>
      </c>
      <c r="E5" s="4">
        <v>66528000</v>
      </c>
      <c r="F5" s="5">
        <v>71719000</v>
      </c>
      <c r="G5" s="4">
        <v>17830000</v>
      </c>
      <c r="H5" s="4">
        <v>17359000</v>
      </c>
      <c r="I5" s="4">
        <v>17014000</v>
      </c>
      <c r="J5" s="4">
        <v>19516000</v>
      </c>
    </row>
    <row r="6" spans="1:10" ht="16" x14ac:dyDescent="0.2">
      <c r="A6" s="3" t="s">
        <v>12</v>
      </c>
      <c r="B6" s="4">
        <v>11978000</v>
      </c>
      <c r="C6" s="4">
        <v>22488000</v>
      </c>
      <c r="D6" s="4">
        <v>39013000</v>
      </c>
      <c r="E6" s="4">
        <v>66528000</v>
      </c>
      <c r="F6" s="5">
        <v>71719000</v>
      </c>
      <c r="G6" s="4">
        <v>17830000</v>
      </c>
      <c r="H6" s="4">
        <v>17359000</v>
      </c>
      <c r="I6" s="4">
        <v>17014000</v>
      </c>
      <c r="J6" s="4">
        <v>19516000</v>
      </c>
    </row>
    <row r="7" spans="1:10" ht="16" x14ac:dyDescent="0.2">
      <c r="A7" s="33" t="s">
        <v>13</v>
      </c>
      <c r="B7" s="26">
        <v>66111000</v>
      </c>
      <c r="C7" s="26">
        <v>138635000</v>
      </c>
      <c r="D7" s="26">
        <v>269137000</v>
      </c>
      <c r="E7" s="26">
        <v>452501000</v>
      </c>
      <c r="F7" s="27">
        <v>553030000</v>
      </c>
      <c r="G7" s="26">
        <v>119063000</v>
      </c>
      <c r="H7" s="26">
        <v>132562000</v>
      </c>
      <c r="I7" s="26">
        <v>145242000</v>
      </c>
      <c r="J7" s="26">
        <v>156163000</v>
      </c>
    </row>
    <row r="8" spans="1:10" ht="16" x14ac:dyDescent="0.2">
      <c r="A8" s="25" t="s">
        <v>49</v>
      </c>
      <c r="B8" s="31">
        <v>84.66</v>
      </c>
      <c r="C8" s="31">
        <v>86.04</v>
      </c>
      <c r="D8" s="31">
        <v>87.34</v>
      </c>
      <c r="E8" s="31">
        <v>87.18</v>
      </c>
      <c r="F8" s="32">
        <v>88.52</v>
      </c>
      <c r="G8" s="31">
        <v>86.98</v>
      </c>
      <c r="H8" s="31">
        <v>88.42</v>
      </c>
      <c r="I8" s="31">
        <v>89.51</v>
      </c>
      <c r="J8" s="31">
        <v>88.89</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158629000</v>
      </c>
      <c r="C10" s="4">
        <v>289172000</v>
      </c>
      <c r="D10" s="4">
        <v>395262000</v>
      </c>
      <c r="E10" s="4">
        <v>604516000</v>
      </c>
      <c r="F10" s="5">
        <v>626288000</v>
      </c>
      <c r="G10" s="4">
        <v>147302000</v>
      </c>
      <c r="H10" s="4">
        <v>142662000</v>
      </c>
      <c r="I10" s="4">
        <v>167994000</v>
      </c>
      <c r="J10" s="4">
        <v>168330000</v>
      </c>
    </row>
    <row r="11" spans="1:10" ht="16" x14ac:dyDescent="0.2">
      <c r="A11" s="25" t="s">
        <v>17</v>
      </c>
      <c r="B11" s="26">
        <v>133992000</v>
      </c>
      <c r="C11" s="26">
        <v>245692000</v>
      </c>
      <c r="D11" s="26">
        <v>321576000</v>
      </c>
      <c r="E11" s="26">
        <v>477469000</v>
      </c>
      <c r="F11" s="27">
        <v>483575000</v>
      </c>
      <c r="G11" s="26">
        <v>113318000</v>
      </c>
      <c r="H11" s="26">
        <v>110102000</v>
      </c>
      <c r="I11" s="26">
        <v>130931000</v>
      </c>
      <c r="J11" s="26">
        <v>129224000</v>
      </c>
    </row>
    <row r="12" spans="1:10" ht="16" x14ac:dyDescent="0.2">
      <c r="A12" s="9" t="s">
        <v>183</v>
      </c>
      <c r="B12" s="10">
        <f t="shared" ref="B12:J12" si="1">B11/B2</f>
        <v>1.7158882813200322</v>
      </c>
      <c r="C12" s="10">
        <f t="shared" si="1"/>
        <v>1.5248723025266411</v>
      </c>
      <c r="D12" s="10">
        <f t="shared" si="1"/>
        <v>1.043569690085997</v>
      </c>
      <c r="E12" s="10">
        <f t="shared" si="1"/>
        <v>0.91992740290041597</v>
      </c>
      <c r="F12" s="10">
        <f t="shared" si="1"/>
        <v>0.77403085078967715</v>
      </c>
      <c r="G12" s="10">
        <f t="shared" si="1"/>
        <v>0.82778520450278681</v>
      </c>
      <c r="H12" s="10">
        <f t="shared" si="1"/>
        <v>0.73440011739516142</v>
      </c>
      <c r="I12" s="10">
        <f t="shared" si="1"/>
        <v>0.80694088354205695</v>
      </c>
      <c r="J12" s="10">
        <f t="shared" si="1"/>
        <v>0.7355688500048384</v>
      </c>
    </row>
    <row r="13" spans="1:10" ht="16" x14ac:dyDescent="0.2">
      <c r="A13" s="25" t="s">
        <v>18</v>
      </c>
      <c r="B13" s="26">
        <v>24637000</v>
      </c>
      <c r="C13" s="26">
        <v>43480000</v>
      </c>
      <c r="D13" s="26">
        <v>73686000</v>
      </c>
      <c r="E13" s="26">
        <v>127047000</v>
      </c>
      <c r="F13" s="27">
        <v>142713000</v>
      </c>
      <c r="G13" s="26">
        <v>33984000</v>
      </c>
      <c r="H13" s="26">
        <v>32560000</v>
      </c>
      <c r="I13" s="26">
        <v>37063000</v>
      </c>
      <c r="J13" s="26">
        <v>39106000</v>
      </c>
    </row>
    <row r="14" spans="1:10" ht="16" x14ac:dyDescent="0.2">
      <c r="A14" s="11" t="s">
        <v>184</v>
      </c>
      <c r="B14" s="12">
        <f t="shared" ref="B14:J14" si="2">B13/B2</f>
        <v>0.31549898193087372</v>
      </c>
      <c r="C14" s="12">
        <f t="shared" si="2"/>
        <v>0.26985594856103723</v>
      </c>
      <c r="D14" s="12">
        <f t="shared" si="2"/>
        <v>0.239123803342528</v>
      </c>
      <c r="E14" s="12">
        <f t="shared" si="2"/>
        <v>0.24477823011816296</v>
      </c>
      <c r="F14" s="12">
        <f t="shared" si="2"/>
        <v>0.22843253850746459</v>
      </c>
      <c r="G14" s="12">
        <f t="shared" si="2"/>
        <v>0.24825228463106222</v>
      </c>
      <c r="H14" s="12">
        <f t="shared" si="2"/>
        <v>0.21718104868564111</v>
      </c>
      <c r="I14" s="12">
        <f t="shared" si="2"/>
        <v>0.22842298589882654</v>
      </c>
      <c r="J14" s="12">
        <f t="shared" si="2"/>
        <v>0.22259917235412313</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3" t="s">
        <v>20</v>
      </c>
      <c r="B16" s="26">
        <v>-92518000</v>
      </c>
      <c r="C16" s="26">
        <v>-150537000</v>
      </c>
      <c r="D16" s="26">
        <v>-126125000</v>
      </c>
      <c r="E16" s="26">
        <v>-152015000</v>
      </c>
      <c r="F16" s="27">
        <v>-73258000</v>
      </c>
      <c r="G16" s="26">
        <v>-28239000</v>
      </c>
      <c r="H16" s="26">
        <v>-10100000</v>
      </c>
      <c r="I16" s="26">
        <v>-22752000</v>
      </c>
      <c r="J16" s="26">
        <v>-12167000</v>
      </c>
    </row>
    <row r="17" spans="1:10" ht="16" x14ac:dyDescent="0.2">
      <c r="A17" s="25" t="s">
        <v>50</v>
      </c>
      <c r="B17" s="31">
        <v>-118.48</v>
      </c>
      <c r="C17" s="31">
        <v>-93.43</v>
      </c>
      <c r="D17" s="31">
        <v>-40.93</v>
      </c>
      <c r="E17" s="31">
        <v>-29.29</v>
      </c>
      <c r="F17" s="32">
        <v>-11.73</v>
      </c>
      <c r="G17" s="31">
        <v>-20.63</v>
      </c>
      <c r="H17" s="31">
        <v>-6.74</v>
      </c>
      <c r="I17" s="31">
        <v>-14.02</v>
      </c>
      <c r="J17" s="31">
        <v>-6.93</v>
      </c>
    </row>
    <row r="18" spans="1:10" ht="16" x14ac:dyDescent="0.2">
      <c r="A18" s="13" t="s">
        <v>185</v>
      </c>
      <c r="B18" s="14"/>
      <c r="C18" s="10">
        <f>(C16/B16)-1</f>
        <v>0.6271104001383514</v>
      </c>
      <c r="D18" s="10">
        <f>(D16/C16)-1</f>
        <v>-0.1621661119857577</v>
      </c>
      <c r="E18" s="10">
        <f>(E16/D16)-1</f>
        <v>0.20527254707631326</v>
      </c>
      <c r="F18" s="10">
        <f t="shared" ref="F18:J18" si="3">(F16/E16)-1</f>
        <v>-0.51808703088510999</v>
      </c>
      <c r="G18" s="10"/>
      <c r="H18" s="10">
        <f t="shared" si="3"/>
        <v>-0.64233860972414036</v>
      </c>
      <c r="I18" s="10">
        <f t="shared" si="3"/>
        <v>1.2526732673267325</v>
      </c>
      <c r="J18" s="10">
        <f t="shared" si="3"/>
        <v>-0.46523382559774962</v>
      </c>
    </row>
    <row r="19" spans="1:10" ht="16" x14ac:dyDescent="0.2">
      <c r="A19" s="3" t="s">
        <v>21</v>
      </c>
      <c r="B19" s="4">
        <v>-1590000</v>
      </c>
      <c r="C19" s="4">
        <v>-526000</v>
      </c>
      <c r="D19" s="4">
        <v>838000</v>
      </c>
      <c r="E19" s="4">
        <v>-22554000</v>
      </c>
      <c r="F19" s="5">
        <v>-35604000</v>
      </c>
      <c r="G19" s="4">
        <v>-6972000</v>
      </c>
      <c r="H19" s="4">
        <v>-11137000</v>
      </c>
      <c r="I19" s="4">
        <v>-9883000</v>
      </c>
      <c r="J19" s="4">
        <v>-7612000</v>
      </c>
    </row>
    <row r="20" spans="1:10" ht="16" x14ac:dyDescent="0.2">
      <c r="A20" s="3" t="s">
        <v>22</v>
      </c>
      <c r="B20" s="4">
        <v>-1701000</v>
      </c>
      <c r="C20" s="4">
        <v>-374000</v>
      </c>
      <c r="D20" s="4">
        <v>-470000</v>
      </c>
      <c r="E20" s="4">
        <v>-18597000</v>
      </c>
      <c r="F20" s="5">
        <v>0</v>
      </c>
      <c r="G20" s="4" t="s">
        <v>15</v>
      </c>
      <c r="H20" s="4" t="s">
        <v>15</v>
      </c>
      <c r="I20" s="4" t="s">
        <v>15</v>
      </c>
      <c r="J20" s="4" t="s">
        <v>15</v>
      </c>
    </row>
    <row r="21" spans="1:10" ht="16" x14ac:dyDescent="0.2">
      <c r="A21" s="3" t="s">
        <v>23</v>
      </c>
      <c r="B21" s="4">
        <v>543000</v>
      </c>
      <c r="C21" s="4">
        <v>671000</v>
      </c>
      <c r="D21" s="4">
        <v>405000</v>
      </c>
      <c r="E21" s="4">
        <v>62000</v>
      </c>
      <c r="F21" s="5" t="s">
        <v>15</v>
      </c>
      <c r="G21" s="4" t="s">
        <v>15</v>
      </c>
      <c r="H21" s="4" t="s">
        <v>15</v>
      </c>
      <c r="I21" s="4" t="s">
        <v>15</v>
      </c>
      <c r="J21" s="4" t="s">
        <v>15</v>
      </c>
    </row>
    <row r="22" spans="1:10" ht="16" x14ac:dyDescent="0.2">
      <c r="A22" s="3" t="s">
        <v>24</v>
      </c>
      <c r="B22" s="4">
        <v>2244000</v>
      </c>
      <c r="C22" s="4">
        <v>1045000</v>
      </c>
      <c r="D22" s="4">
        <v>875000</v>
      </c>
      <c r="E22" s="4">
        <v>18659000</v>
      </c>
      <c r="F22" s="5" t="s">
        <v>15</v>
      </c>
      <c r="G22" s="4" t="s">
        <v>15</v>
      </c>
      <c r="H22" s="4" t="s">
        <v>15</v>
      </c>
      <c r="I22" s="4" t="s">
        <v>15</v>
      </c>
      <c r="J22" s="4" t="s">
        <v>15</v>
      </c>
    </row>
    <row r="23" spans="1:10" ht="16" x14ac:dyDescent="0.2">
      <c r="A23" s="3" t="s">
        <v>25</v>
      </c>
      <c r="B23" s="4">
        <v>111000</v>
      </c>
      <c r="C23" s="4">
        <v>-152000</v>
      </c>
      <c r="D23" s="4">
        <v>1308000</v>
      </c>
      <c r="E23" s="4">
        <v>-3957000</v>
      </c>
      <c r="F23" s="5">
        <v>-35604000</v>
      </c>
      <c r="G23" s="4">
        <v>-6972000</v>
      </c>
      <c r="H23" s="4">
        <v>-11137000</v>
      </c>
      <c r="I23" s="4">
        <v>-9883000</v>
      </c>
      <c r="J23" s="4">
        <v>-7612000</v>
      </c>
    </row>
    <row r="24" spans="1:10" ht="16" x14ac:dyDescent="0.2">
      <c r="A24" s="3" t="s">
        <v>26</v>
      </c>
      <c r="B24" s="4">
        <v>-90928000</v>
      </c>
      <c r="C24" s="4">
        <v>-150011000</v>
      </c>
      <c r="D24" s="4">
        <v>-126963000</v>
      </c>
      <c r="E24" s="4">
        <v>-129461000</v>
      </c>
      <c r="F24" s="5">
        <v>-37654000</v>
      </c>
      <c r="G24" s="4">
        <v>-21267000</v>
      </c>
      <c r="H24" s="4">
        <v>1037000</v>
      </c>
      <c r="I24" s="4">
        <v>-12869000</v>
      </c>
      <c r="J24" s="4">
        <v>-4555000</v>
      </c>
    </row>
    <row r="25" spans="1:10" ht="16" x14ac:dyDescent="0.2">
      <c r="A25" s="3" t="s">
        <v>27</v>
      </c>
      <c r="B25" s="4">
        <v>683000</v>
      </c>
      <c r="C25" s="4">
        <v>2192000</v>
      </c>
      <c r="D25" s="4">
        <v>2331000</v>
      </c>
      <c r="E25" s="4">
        <v>7406000</v>
      </c>
      <c r="F25" s="5">
        <v>8566000</v>
      </c>
      <c r="G25" s="4">
        <v>1763000</v>
      </c>
      <c r="H25" s="4">
        <v>2525000</v>
      </c>
      <c r="I25" s="4">
        <v>1798000</v>
      </c>
      <c r="J25" s="4">
        <v>2480000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-91611000</v>
      </c>
      <c r="C27" s="4">
        <v>-152203000</v>
      </c>
      <c r="D27" s="4">
        <v>-129294000</v>
      </c>
      <c r="E27" s="4">
        <v>-136867000</v>
      </c>
      <c r="F27" s="5">
        <v>-46220000</v>
      </c>
      <c r="G27" s="4">
        <v>-23030000</v>
      </c>
      <c r="H27" s="4">
        <v>-1488000</v>
      </c>
      <c r="I27" s="4">
        <v>-14667000</v>
      </c>
      <c r="J27" s="4">
        <v>-7035000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-91611000</v>
      </c>
      <c r="C31" s="4">
        <v>-152203000</v>
      </c>
      <c r="D31" s="4">
        <v>-129294000</v>
      </c>
      <c r="E31" s="4">
        <v>-136867000</v>
      </c>
      <c r="F31" s="5">
        <v>-46220000</v>
      </c>
      <c r="G31" s="4">
        <v>-23030000</v>
      </c>
      <c r="H31" s="4">
        <v>-1488000</v>
      </c>
      <c r="I31" s="4">
        <v>-14667000</v>
      </c>
      <c r="J31" s="4">
        <v>-7035000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3" t="s">
        <v>35</v>
      </c>
      <c r="B33" s="26">
        <v>-91611000</v>
      </c>
      <c r="C33" s="26">
        <v>-152203000</v>
      </c>
      <c r="D33" s="26">
        <v>-129294000</v>
      </c>
      <c r="E33" s="26">
        <v>-136867000</v>
      </c>
      <c r="F33" s="27">
        <v>-46220000</v>
      </c>
      <c r="G33" s="26">
        <v>-23030000</v>
      </c>
      <c r="H33" s="26">
        <v>-1488000</v>
      </c>
      <c r="I33" s="26">
        <v>-14667000</v>
      </c>
      <c r="J33" s="26">
        <v>-7035000</v>
      </c>
    </row>
    <row r="34" spans="1:10" ht="16" x14ac:dyDescent="0.2">
      <c r="A34" s="25" t="s">
        <v>51</v>
      </c>
      <c r="B34" s="31">
        <v>-117.32</v>
      </c>
      <c r="C34" s="31">
        <v>-94.46</v>
      </c>
      <c r="D34" s="31">
        <v>-41.96</v>
      </c>
      <c r="E34" s="31">
        <v>-26.37</v>
      </c>
      <c r="F34" s="32">
        <v>-7.4</v>
      </c>
      <c r="G34" s="31">
        <v>-16.82</v>
      </c>
      <c r="H34" s="31">
        <v>-0.99</v>
      </c>
      <c r="I34" s="31">
        <v>-9.0399999999999991</v>
      </c>
      <c r="J34" s="26">
        <v>-4</v>
      </c>
    </row>
    <row r="35" spans="1:10" ht="16" x14ac:dyDescent="0.2">
      <c r="A35" s="15" t="s">
        <v>186</v>
      </c>
      <c r="B35" s="16"/>
      <c r="C35" s="12">
        <f>(C33/B33)-1</f>
        <v>0.66140528975778023</v>
      </c>
      <c r="D35" s="12">
        <f>(D33/C33)-1</f>
        <v>-0.15051608706792896</v>
      </c>
      <c r="E35" s="12">
        <f>(E33/D33)-1</f>
        <v>5.8571936826148141E-2</v>
      </c>
      <c r="F35" s="12">
        <f t="shared" ref="F35:J35" si="4">(F33/E33)-1</f>
        <v>-0.66229989698028013</v>
      </c>
      <c r="G35" s="12"/>
      <c r="H35" s="12">
        <f t="shared" si="4"/>
        <v>-0.93538862353452024</v>
      </c>
      <c r="I35" s="12">
        <f t="shared" si="4"/>
        <v>8.8568548387096779</v>
      </c>
      <c r="J35" s="12">
        <f t="shared" si="4"/>
        <v>-0.52035181018613219</v>
      </c>
    </row>
    <row r="36" spans="1:10" ht="16" x14ac:dyDescent="0.2">
      <c r="A36" s="17" t="s">
        <v>187</v>
      </c>
      <c r="B36" s="18">
        <f t="shared" ref="B36:J36" si="5">(B16*(1-0.25))/(B126+B105+B96)</f>
        <v>0.59050524649595348</v>
      </c>
      <c r="C36" s="18">
        <f t="shared" si="5"/>
        <v>0.57470616381526374</v>
      </c>
      <c r="D36" s="18">
        <f t="shared" si="5"/>
        <v>-0.13446563436861655</v>
      </c>
      <c r="E36" s="18">
        <f t="shared" si="5"/>
        <v>-0.15051765041368467</v>
      </c>
      <c r="F36" s="18">
        <f t="shared" si="5"/>
        <v>-6.949560083176913E-2</v>
      </c>
      <c r="G36" s="18">
        <f t="shared" si="5"/>
        <v>-2.8794816749442235E-2</v>
      </c>
      <c r="H36" s="18">
        <f t="shared" si="5"/>
        <v>-1.0000514877993718E-2</v>
      </c>
      <c r="I36" s="18">
        <f t="shared" si="5"/>
        <v>-2.2164982600800402E-2</v>
      </c>
      <c r="J36" s="18">
        <f t="shared" si="5"/>
        <v>-1.1542124755250417E-2</v>
      </c>
    </row>
    <row r="37" spans="1:10" ht="16" x14ac:dyDescent="0.2">
      <c r="A37" s="3" t="s">
        <v>36</v>
      </c>
      <c r="B37" s="4" t="s">
        <v>15</v>
      </c>
      <c r="C37" s="4" t="s">
        <v>15</v>
      </c>
      <c r="D37" s="4">
        <v>8203000</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-91611000</v>
      </c>
      <c r="C39" s="4">
        <v>-152203000</v>
      </c>
      <c r="D39" s="4">
        <v>-137497000</v>
      </c>
      <c r="E39" s="4">
        <v>-136867000</v>
      </c>
      <c r="F39" s="5">
        <v>-46220000</v>
      </c>
      <c r="G39" s="4">
        <v>-23030000</v>
      </c>
      <c r="H39" s="4">
        <v>-1488000</v>
      </c>
      <c r="I39" s="4">
        <v>-14667000</v>
      </c>
      <c r="J39" s="4">
        <v>-7035000</v>
      </c>
    </row>
    <row r="40" spans="1:10" ht="16" x14ac:dyDescent="0.2">
      <c r="A40" s="3" t="s">
        <v>39</v>
      </c>
      <c r="B40" s="4">
        <v>38833000</v>
      </c>
      <c r="C40" s="4">
        <v>38833000</v>
      </c>
      <c r="D40" s="4">
        <v>30332000</v>
      </c>
      <c r="E40" s="4">
        <v>45805000</v>
      </c>
      <c r="F40" s="5">
        <v>47319500</v>
      </c>
      <c r="G40" s="4">
        <v>45478000</v>
      </c>
      <c r="H40" s="4">
        <v>47679000</v>
      </c>
      <c r="I40" s="4">
        <v>47912000</v>
      </c>
      <c r="J40" s="4">
        <v>48209000</v>
      </c>
    </row>
    <row r="41" spans="1:10" ht="16" x14ac:dyDescent="0.2">
      <c r="A41" s="3" t="s">
        <v>40</v>
      </c>
      <c r="B41" s="6">
        <v>-2.36</v>
      </c>
      <c r="C41" s="6">
        <v>-3.92</v>
      </c>
      <c r="D41" s="6">
        <v>-4.53</v>
      </c>
      <c r="E41" s="6">
        <v>-2.99</v>
      </c>
      <c r="F41" s="7">
        <v>-0.98</v>
      </c>
      <c r="G41" s="6">
        <v>-0.51</v>
      </c>
      <c r="H41" s="6">
        <v>-0.03</v>
      </c>
      <c r="I41" s="6">
        <v>-0.31</v>
      </c>
      <c r="J41" s="6">
        <v>-0.15</v>
      </c>
    </row>
    <row r="42" spans="1:10" ht="16" x14ac:dyDescent="0.2">
      <c r="A42" s="3" t="s">
        <v>41</v>
      </c>
      <c r="B42" s="6">
        <v>-2.36</v>
      </c>
      <c r="C42" s="6">
        <v>-3.92</v>
      </c>
      <c r="D42" s="6">
        <v>-4.26</v>
      </c>
      <c r="E42" s="6">
        <v>-2.99</v>
      </c>
      <c r="F42" s="7">
        <v>-0.98</v>
      </c>
      <c r="G42" s="6">
        <v>-0.51</v>
      </c>
      <c r="H42" s="6">
        <v>-0.03</v>
      </c>
      <c r="I42" s="6">
        <v>-0.31</v>
      </c>
      <c r="J42" s="6">
        <v>-0.15</v>
      </c>
    </row>
    <row r="43" spans="1:10" ht="16" x14ac:dyDescent="0.2">
      <c r="A43" s="3" t="s">
        <v>42</v>
      </c>
      <c r="B43" s="4">
        <v>38833000</v>
      </c>
      <c r="C43" s="4">
        <v>38833000</v>
      </c>
      <c r="D43" s="4">
        <v>30332000</v>
      </c>
      <c r="E43" s="4">
        <v>45805000</v>
      </c>
      <c r="F43" s="5">
        <v>47319500</v>
      </c>
      <c r="G43" s="4">
        <v>45478000</v>
      </c>
      <c r="H43" s="4">
        <v>47679000</v>
      </c>
      <c r="I43" s="4">
        <v>47912000</v>
      </c>
      <c r="J43" s="4">
        <v>48209000</v>
      </c>
    </row>
    <row r="44" spans="1:10" ht="16" x14ac:dyDescent="0.2">
      <c r="A44" s="3" t="s">
        <v>43</v>
      </c>
      <c r="B44" s="6">
        <v>-2.36</v>
      </c>
      <c r="C44" s="6">
        <v>-3.92</v>
      </c>
      <c r="D44" s="6">
        <v>-4.53</v>
      </c>
      <c r="E44" s="6">
        <v>-2.99</v>
      </c>
      <c r="F44" s="7">
        <v>-0.98</v>
      </c>
      <c r="G44" s="6">
        <v>-0.51</v>
      </c>
      <c r="H44" s="6">
        <v>-0.03</v>
      </c>
      <c r="I44" s="6">
        <v>-0.31</v>
      </c>
      <c r="J44" s="6">
        <v>-0.15</v>
      </c>
    </row>
    <row r="45" spans="1:10" ht="16" x14ac:dyDescent="0.2">
      <c r="A45" s="3" t="s">
        <v>44</v>
      </c>
      <c r="B45" s="6">
        <v>-2.36</v>
      </c>
      <c r="C45" s="6">
        <v>-3.92</v>
      </c>
      <c r="D45" s="6">
        <v>-4.26</v>
      </c>
      <c r="E45" s="6">
        <v>-2.99</v>
      </c>
      <c r="F45" s="7">
        <v>-0.98</v>
      </c>
      <c r="G45" s="6">
        <v>-0.51</v>
      </c>
      <c r="H45" s="6">
        <v>-0.03</v>
      </c>
      <c r="I45" s="6">
        <v>-0.31</v>
      </c>
      <c r="J45" s="6">
        <v>-0.15</v>
      </c>
    </row>
    <row r="46" spans="1:10" ht="16" x14ac:dyDescent="0.2">
      <c r="A46" s="3" t="s">
        <v>45</v>
      </c>
      <c r="B46" s="4">
        <v>-91939000</v>
      </c>
      <c r="C46" s="4">
        <v>-148649000</v>
      </c>
      <c r="D46" s="4">
        <v>-123379000</v>
      </c>
      <c r="E46" s="4">
        <v>-143448000</v>
      </c>
      <c r="F46" s="5">
        <v>-63079000</v>
      </c>
      <c r="G46" s="4">
        <v>-25379000</v>
      </c>
      <c r="H46" s="4">
        <v>-6917000</v>
      </c>
      <c r="I46" s="4">
        <v>-20780000</v>
      </c>
      <c r="J46" s="4">
        <v>-10003000</v>
      </c>
    </row>
    <row r="47" spans="1:10" ht="16" x14ac:dyDescent="0.2">
      <c r="A47" s="3" t="s">
        <v>46</v>
      </c>
      <c r="B47" s="6">
        <v>-117.74</v>
      </c>
      <c r="C47" s="6">
        <v>-92.26</v>
      </c>
      <c r="D47" s="6">
        <v>-40.04</v>
      </c>
      <c r="E47" s="6">
        <v>-27.64</v>
      </c>
      <c r="F47" s="7">
        <v>-10.1</v>
      </c>
      <c r="G47" s="6">
        <v>-35.979999999999997</v>
      </c>
      <c r="H47" s="6">
        <v>-27.64</v>
      </c>
      <c r="I47" s="6">
        <v>-17.079999999999998</v>
      </c>
      <c r="J47" s="6">
        <v>-10.1</v>
      </c>
    </row>
    <row r="48" spans="1:10" ht="16" x14ac:dyDescent="0.2">
      <c r="A48" s="3" t="s">
        <v>47</v>
      </c>
      <c r="B48" s="4">
        <v>-92518000</v>
      </c>
      <c r="C48" s="4">
        <v>-150537000</v>
      </c>
      <c r="D48" s="4">
        <v>-126125000</v>
      </c>
      <c r="E48" s="4">
        <v>-152015000</v>
      </c>
      <c r="F48" s="5">
        <v>-73258000</v>
      </c>
      <c r="G48" s="4">
        <v>-28239000</v>
      </c>
      <c r="H48" s="4">
        <v>-10100000</v>
      </c>
      <c r="I48" s="4">
        <v>-22752000</v>
      </c>
      <c r="J48" s="4">
        <v>-12167000</v>
      </c>
    </row>
    <row r="49" spans="1:10" ht="16" x14ac:dyDescent="0.2">
      <c r="A49" s="3" t="s">
        <v>48</v>
      </c>
      <c r="B49" s="4">
        <v>-92518000</v>
      </c>
      <c r="C49" s="4">
        <v>-150537000</v>
      </c>
      <c r="D49" s="4">
        <v>-126125000</v>
      </c>
      <c r="E49" s="4">
        <v>-152015000</v>
      </c>
      <c r="F49" s="5">
        <v>-73258000</v>
      </c>
      <c r="G49" s="4">
        <v>-28239000</v>
      </c>
      <c r="H49" s="4">
        <v>-10100000</v>
      </c>
      <c r="I49" s="4">
        <v>-22752000</v>
      </c>
      <c r="J49" s="4">
        <v>-12167000</v>
      </c>
    </row>
    <row r="50" spans="1:10" ht="16" x14ac:dyDescent="0.2">
      <c r="A50" s="3" t="s">
        <v>52</v>
      </c>
      <c r="B50" s="4" t="s">
        <v>15</v>
      </c>
      <c r="C50" s="4">
        <v>228543</v>
      </c>
      <c r="D50" s="4">
        <v>289615</v>
      </c>
      <c r="E50" s="4">
        <v>335074</v>
      </c>
      <c r="F50" s="5">
        <v>403324</v>
      </c>
      <c r="G50" s="4">
        <v>128659</v>
      </c>
      <c r="H50" s="4">
        <v>96786</v>
      </c>
      <c r="I50" s="4">
        <v>104749</v>
      </c>
      <c r="J50" s="4">
        <v>113414</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579000</v>
      </c>
      <c r="C52" s="4">
        <v>1888000</v>
      </c>
      <c r="D52" s="4">
        <v>2746000</v>
      </c>
      <c r="E52" s="4">
        <v>8567000</v>
      </c>
      <c r="F52" s="5">
        <v>10179000</v>
      </c>
      <c r="G52" s="4">
        <v>2860000</v>
      </c>
      <c r="H52" s="4">
        <v>3183000</v>
      </c>
      <c r="I52" s="4">
        <v>1972000</v>
      </c>
      <c r="J52" s="4">
        <v>2164000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181309000</v>
      </c>
      <c r="C55" s="4">
        <v>147623000</v>
      </c>
      <c r="D55" s="4">
        <v>913493000</v>
      </c>
      <c r="E55" s="4">
        <v>923845000</v>
      </c>
      <c r="F55" s="5">
        <v>1031911000</v>
      </c>
      <c r="G55" s="4">
        <v>889544000</v>
      </c>
      <c r="H55" s="4">
        <v>923845000</v>
      </c>
      <c r="I55" s="4">
        <v>983371000</v>
      </c>
      <c r="J55" s="4">
        <v>1031911000</v>
      </c>
    </row>
    <row r="56" spans="1:10" ht="16" x14ac:dyDescent="0.2">
      <c r="A56" s="3" t="s">
        <v>56</v>
      </c>
      <c r="B56" s="4">
        <v>175601000</v>
      </c>
      <c r="C56" s="4">
        <v>139814000</v>
      </c>
      <c r="D56" s="4">
        <v>886812000</v>
      </c>
      <c r="E56" s="4">
        <v>885894000</v>
      </c>
      <c r="F56" s="5">
        <v>989377000</v>
      </c>
      <c r="G56" s="4">
        <v>852568000</v>
      </c>
      <c r="H56" s="4">
        <v>885894000</v>
      </c>
      <c r="I56" s="4">
        <v>935565000</v>
      </c>
      <c r="J56" s="4">
        <v>989377000</v>
      </c>
    </row>
    <row r="57" spans="1:10" ht="16" x14ac:dyDescent="0.2">
      <c r="A57" s="3" t="s">
        <v>57</v>
      </c>
      <c r="B57" s="4">
        <v>171601000</v>
      </c>
      <c r="C57" s="4">
        <v>129814000</v>
      </c>
      <c r="D57" s="4">
        <v>886812000</v>
      </c>
      <c r="E57" s="4">
        <v>885894000</v>
      </c>
      <c r="F57" s="5">
        <v>989377000</v>
      </c>
      <c r="G57" s="4">
        <v>852568000</v>
      </c>
      <c r="H57" s="4">
        <v>885894000</v>
      </c>
      <c r="I57" s="4">
        <v>935565000</v>
      </c>
      <c r="J57" s="4">
        <v>989377000</v>
      </c>
    </row>
    <row r="58" spans="1:10" ht="16" x14ac:dyDescent="0.2">
      <c r="A58" s="3" t="s">
        <v>58</v>
      </c>
      <c r="B58" s="4">
        <v>4000000</v>
      </c>
      <c r="C58" s="4">
        <v>10000000</v>
      </c>
      <c r="D58" s="4" t="s">
        <v>15</v>
      </c>
      <c r="E58" s="4" t="s">
        <v>15</v>
      </c>
      <c r="F58" s="5" t="s">
        <v>15</v>
      </c>
      <c r="G58" s="4" t="s">
        <v>15</v>
      </c>
      <c r="H58" s="4" t="s">
        <v>15</v>
      </c>
      <c r="I58" s="4" t="s">
        <v>15</v>
      </c>
      <c r="J58" s="4" t="s">
        <v>15</v>
      </c>
    </row>
    <row r="59" spans="1:10" ht="16" x14ac:dyDescent="0.2">
      <c r="A59" s="3" t="s">
        <v>59</v>
      </c>
      <c r="B59" s="4">
        <v>3439000</v>
      </c>
      <c r="C59" s="4">
        <v>3911000</v>
      </c>
      <c r="D59" s="4">
        <v>8509000</v>
      </c>
      <c r="E59" s="4">
        <v>13226000</v>
      </c>
      <c r="F59" s="5">
        <v>15136000</v>
      </c>
      <c r="G59" s="4">
        <v>14466000</v>
      </c>
      <c r="H59" s="4">
        <v>13226000</v>
      </c>
      <c r="I59" s="4">
        <v>18986000</v>
      </c>
      <c r="J59" s="4">
        <v>15136000</v>
      </c>
    </row>
    <row r="60" spans="1:10" ht="16" x14ac:dyDescent="0.2">
      <c r="A60" s="3" t="s">
        <v>60</v>
      </c>
      <c r="B60" s="4">
        <v>3439000</v>
      </c>
      <c r="C60" s="4">
        <v>3911000</v>
      </c>
      <c r="D60" s="4">
        <v>8509000</v>
      </c>
      <c r="E60" s="4">
        <v>13226000</v>
      </c>
      <c r="F60" s="5">
        <v>15136000</v>
      </c>
      <c r="G60" s="4">
        <v>14466000</v>
      </c>
      <c r="H60" s="4">
        <v>13226000</v>
      </c>
      <c r="I60" s="4">
        <v>18986000</v>
      </c>
      <c r="J60" s="4">
        <v>15136000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2269000</v>
      </c>
      <c r="C70" s="4">
        <v>3898000</v>
      </c>
      <c r="D70" s="4">
        <v>18172000</v>
      </c>
      <c r="E70" s="4">
        <v>24725000</v>
      </c>
      <c r="F70" s="5">
        <v>27398000</v>
      </c>
      <c r="G70" s="4">
        <v>22510000</v>
      </c>
      <c r="H70" s="4">
        <v>24725000</v>
      </c>
      <c r="I70" s="4">
        <v>28820000</v>
      </c>
      <c r="J70" s="4">
        <v>27398000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3839000</v>
      </c>
      <c r="C76" s="4">
        <v>9797000</v>
      </c>
      <c r="D76" s="4">
        <v>19699000</v>
      </c>
      <c r="E76" s="4">
        <v>115198000</v>
      </c>
      <c r="F76" s="5">
        <v>108927000</v>
      </c>
      <c r="G76" s="4">
        <v>120531000</v>
      </c>
      <c r="H76" s="4">
        <v>115198000</v>
      </c>
      <c r="I76" s="4">
        <v>114195000</v>
      </c>
      <c r="J76" s="4">
        <v>108927000</v>
      </c>
    </row>
    <row r="77" spans="1:10" ht="16" x14ac:dyDescent="0.2">
      <c r="A77" s="3" t="s">
        <v>77</v>
      </c>
      <c r="B77" s="4">
        <v>3194000</v>
      </c>
      <c r="C77" s="4">
        <v>7178000</v>
      </c>
      <c r="D77" s="4">
        <v>19599000</v>
      </c>
      <c r="E77" s="4">
        <v>105394000</v>
      </c>
      <c r="F77" s="5">
        <v>108353000</v>
      </c>
      <c r="G77" s="4">
        <v>120355000</v>
      </c>
      <c r="H77" s="4">
        <v>105394000</v>
      </c>
      <c r="I77" s="4">
        <v>113631000</v>
      </c>
      <c r="J77" s="4">
        <v>108353000</v>
      </c>
    </row>
    <row r="78" spans="1:10" ht="16" x14ac:dyDescent="0.2">
      <c r="A78" s="3" t="s">
        <v>78</v>
      </c>
      <c r="B78" s="4">
        <v>4212000</v>
      </c>
      <c r="C78" s="4">
        <v>10084000</v>
      </c>
      <c r="D78" s="4">
        <v>25173000</v>
      </c>
      <c r="E78" s="4">
        <v>114613000</v>
      </c>
      <c r="F78" s="5">
        <v>108353000</v>
      </c>
      <c r="G78" s="4">
        <v>120355000</v>
      </c>
      <c r="H78" s="4">
        <v>114613000</v>
      </c>
      <c r="I78" s="4">
        <v>113631000</v>
      </c>
      <c r="J78" s="4">
        <v>108353000</v>
      </c>
    </row>
    <row r="79" spans="1:10" ht="16" x14ac:dyDescent="0.2">
      <c r="A79" s="3" t="s">
        <v>79</v>
      </c>
      <c r="B79" s="4">
        <v>1018000</v>
      </c>
      <c r="C79" s="4">
        <v>2906000</v>
      </c>
      <c r="D79" s="4">
        <v>5574000</v>
      </c>
      <c r="E79" s="4">
        <v>9219000</v>
      </c>
      <c r="F79" s="5" t="s">
        <v>15</v>
      </c>
      <c r="G79" s="4" t="s">
        <v>15</v>
      </c>
      <c r="H79" s="4">
        <v>9219000</v>
      </c>
      <c r="I79" s="4" t="s">
        <v>15</v>
      </c>
      <c r="J79" s="4" t="s">
        <v>15</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645000</v>
      </c>
      <c r="C83" s="4">
        <v>2619000</v>
      </c>
      <c r="D83" s="4">
        <v>100000</v>
      </c>
      <c r="E83" s="4">
        <v>9804000</v>
      </c>
      <c r="F83" s="5">
        <v>574000</v>
      </c>
      <c r="G83" s="4">
        <v>176000</v>
      </c>
      <c r="H83" s="4">
        <v>9804000</v>
      </c>
      <c r="I83" s="4">
        <v>564000</v>
      </c>
      <c r="J83" s="4">
        <v>574000</v>
      </c>
    </row>
    <row r="84" spans="1:10" ht="16" x14ac:dyDescent="0.2">
      <c r="A84" s="3" t="s">
        <v>84</v>
      </c>
      <c r="B84" s="4" t="s">
        <v>15</v>
      </c>
      <c r="C84" s="4" t="s">
        <v>15</v>
      </c>
      <c r="D84" s="4" t="s">
        <v>15</v>
      </c>
      <c r="E84" s="4" t="s">
        <v>15</v>
      </c>
      <c r="F84" s="5" t="s">
        <v>15</v>
      </c>
      <c r="G84" s="4" t="s">
        <v>15</v>
      </c>
      <c r="H84" s="4" t="s">
        <v>15</v>
      </c>
      <c r="I84" s="4" t="s">
        <v>15</v>
      </c>
      <c r="J84" s="4" t="s">
        <v>15</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t="s">
        <v>15</v>
      </c>
      <c r="D86" s="4" t="s">
        <v>15</v>
      </c>
      <c r="E86" s="4" t="s">
        <v>15</v>
      </c>
      <c r="F86" s="5" t="s">
        <v>15</v>
      </c>
      <c r="G86" s="4" t="s">
        <v>15</v>
      </c>
      <c r="H86" s="4" t="s">
        <v>15</v>
      </c>
      <c r="I86" s="4" t="s">
        <v>15</v>
      </c>
      <c r="J86" s="4" t="s">
        <v>15</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645000</v>
      </c>
      <c r="C89" s="4">
        <v>2619000</v>
      </c>
      <c r="D89" s="4">
        <v>100000</v>
      </c>
      <c r="E89" s="4">
        <v>9804000</v>
      </c>
      <c r="F89" s="5">
        <v>574000</v>
      </c>
      <c r="G89" s="4">
        <v>176000</v>
      </c>
      <c r="H89" s="4">
        <v>9804000</v>
      </c>
      <c r="I89" s="4">
        <v>564000</v>
      </c>
      <c r="J89" s="4">
        <v>574000</v>
      </c>
    </row>
    <row r="90" spans="1:10" ht="16" x14ac:dyDescent="0.2">
      <c r="A90" s="3" t="s">
        <v>90</v>
      </c>
      <c r="B90" s="4">
        <v>185148000</v>
      </c>
      <c r="C90" s="4">
        <v>157420000</v>
      </c>
      <c r="D90" s="4">
        <v>933192000</v>
      </c>
      <c r="E90" s="4">
        <v>1039043000</v>
      </c>
      <c r="F90" s="5">
        <v>1140838000</v>
      </c>
      <c r="G90" s="4">
        <v>1010075000</v>
      </c>
      <c r="H90" s="4">
        <v>1039043000</v>
      </c>
      <c r="I90" s="4">
        <v>1097566000</v>
      </c>
      <c r="J90" s="4">
        <v>1140838000</v>
      </c>
    </row>
    <row r="91" spans="1:10" ht="16" x14ac:dyDescent="0.2">
      <c r="A91" s="3" t="s">
        <v>91</v>
      </c>
      <c r="B91" s="4">
        <v>21501000</v>
      </c>
      <c r="C91" s="4">
        <v>32847000</v>
      </c>
      <c r="D91" s="4">
        <v>93747000</v>
      </c>
      <c r="E91" s="4">
        <v>81041000</v>
      </c>
      <c r="F91" s="5">
        <v>100578000</v>
      </c>
      <c r="G91" s="4">
        <v>82784000</v>
      </c>
      <c r="H91" s="4">
        <v>81041000</v>
      </c>
      <c r="I91" s="4">
        <v>96196000</v>
      </c>
      <c r="J91" s="4">
        <v>100578000</v>
      </c>
    </row>
    <row r="92" spans="1:10" ht="16" x14ac:dyDescent="0.2">
      <c r="A92" s="3" t="s">
        <v>92</v>
      </c>
      <c r="B92" s="4">
        <v>18950000</v>
      </c>
      <c r="C92" s="4">
        <v>25734000</v>
      </c>
      <c r="D92" s="4">
        <v>23612000</v>
      </c>
      <c r="E92" s="4">
        <v>7335000</v>
      </c>
      <c r="F92" s="5">
        <v>10837000</v>
      </c>
      <c r="G92" s="4">
        <v>6827000</v>
      </c>
      <c r="H92" s="4">
        <v>7335000</v>
      </c>
      <c r="I92" s="4">
        <v>11179000</v>
      </c>
      <c r="J92" s="4">
        <v>10837000</v>
      </c>
    </row>
    <row r="93" spans="1:10" ht="16" x14ac:dyDescent="0.2">
      <c r="A93" s="3" t="s">
        <v>93</v>
      </c>
      <c r="B93" s="4">
        <v>1047000</v>
      </c>
      <c r="C93" s="4">
        <v>2288000</v>
      </c>
      <c r="D93" s="4">
        <v>2815000</v>
      </c>
      <c r="E93" s="4">
        <v>4071000</v>
      </c>
      <c r="F93" s="5" t="s">
        <v>15</v>
      </c>
      <c r="G93" s="4" t="s">
        <v>15</v>
      </c>
      <c r="H93" s="4">
        <v>4071000</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1504000</v>
      </c>
      <c r="C95" s="4">
        <v>4825000</v>
      </c>
      <c r="D95" s="4">
        <v>67320000</v>
      </c>
      <c r="E95" s="4">
        <v>69635000</v>
      </c>
      <c r="F95" s="5">
        <v>89741000</v>
      </c>
      <c r="G95" s="4">
        <v>75957000</v>
      </c>
      <c r="H95" s="4">
        <v>69635000</v>
      </c>
      <c r="I95" s="4">
        <v>85017000</v>
      </c>
      <c r="J95" s="4">
        <v>89741000</v>
      </c>
    </row>
    <row r="96" spans="1:10" ht="16" x14ac:dyDescent="0.2">
      <c r="A96" s="3" t="s">
        <v>96</v>
      </c>
      <c r="B96" s="4">
        <v>13114000</v>
      </c>
      <c r="C96" s="4">
        <v>21104000</v>
      </c>
      <c r="D96" s="4">
        <v>84000</v>
      </c>
      <c r="E96" s="4">
        <v>19083000</v>
      </c>
      <c r="F96" s="5">
        <v>18952000</v>
      </c>
      <c r="G96" s="4">
        <v>16874000</v>
      </c>
      <c r="H96" s="4">
        <v>19083000</v>
      </c>
      <c r="I96" s="4">
        <v>19625000</v>
      </c>
      <c r="J96" s="4">
        <v>18952000</v>
      </c>
    </row>
    <row r="97" spans="1:10" ht="16" x14ac:dyDescent="0.2">
      <c r="A97" s="3" t="s">
        <v>97</v>
      </c>
      <c r="B97" s="4">
        <v>13030000</v>
      </c>
      <c r="C97" s="4">
        <v>21016000</v>
      </c>
      <c r="D97" s="4" t="s">
        <v>15</v>
      </c>
      <c r="E97" s="4" t="s">
        <v>15</v>
      </c>
      <c r="F97" s="5" t="s">
        <v>15</v>
      </c>
      <c r="G97" s="4" t="s">
        <v>15</v>
      </c>
      <c r="H97" s="4" t="s">
        <v>15</v>
      </c>
      <c r="I97" s="4" t="s">
        <v>15</v>
      </c>
      <c r="J97" s="4" t="s">
        <v>15</v>
      </c>
    </row>
    <row r="98" spans="1:10" ht="16" x14ac:dyDescent="0.2">
      <c r="A98" s="3" t="s">
        <v>98</v>
      </c>
      <c r="B98" s="4">
        <v>84000</v>
      </c>
      <c r="C98" s="4">
        <v>88000</v>
      </c>
      <c r="D98" s="4">
        <v>84000</v>
      </c>
      <c r="E98" s="4">
        <v>19083000</v>
      </c>
      <c r="F98" s="5">
        <v>18952000</v>
      </c>
      <c r="G98" s="4">
        <v>16874000</v>
      </c>
      <c r="H98" s="4">
        <v>19083000</v>
      </c>
      <c r="I98" s="4">
        <v>19625000</v>
      </c>
      <c r="J98" s="4">
        <v>18952000</v>
      </c>
    </row>
    <row r="99" spans="1:10" ht="16" x14ac:dyDescent="0.2">
      <c r="A99" s="3" t="s">
        <v>99</v>
      </c>
      <c r="B99" s="4">
        <v>46146000</v>
      </c>
      <c r="C99" s="4">
        <v>86485000</v>
      </c>
      <c r="D99" s="4">
        <v>134354000</v>
      </c>
      <c r="E99" s="4">
        <v>198099000</v>
      </c>
      <c r="F99" s="5">
        <v>246610000</v>
      </c>
      <c r="G99" s="4">
        <v>189385000</v>
      </c>
      <c r="H99" s="4">
        <v>198099000</v>
      </c>
      <c r="I99" s="4">
        <v>229064000</v>
      </c>
      <c r="J99" s="4">
        <v>246610000</v>
      </c>
    </row>
    <row r="100" spans="1:10" ht="16" x14ac:dyDescent="0.2">
      <c r="A100" s="3" t="s">
        <v>100</v>
      </c>
      <c r="B100" s="4">
        <v>42653000</v>
      </c>
      <c r="C100" s="4">
        <v>72275000</v>
      </c>
      <c r="D100" s="4">
        <v>134438000</v>
      </c>
      <c r="E100" s="4">
        <v>198099000</v>
      </c>
      <c r="F100" s="5">
        <v>246610000</v>
      </c>
      <c r="G100" s="4">
        <v>189385000</v>
      </c>
      <c r="H100" s="4">
        <v>198099000</v>
      </c>
      <c r="I100" s="4">
        <v>229064000</v>
      </c>
      <c r="J100" s="4">
        <v>246610000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3493000</v>
      </c>
      <c r="C103" s="4">
        <v>14210000</v>
      </c>
      <c r="D103" s="4">
        <v>-84000</v>
      </c>
      <c r="E103" s="4" t="s">
        <v>15</v>
      </c>
      <c r="F103" s="5" t="s">
        <v>15</v>
      </c>
      <c r="G103" s="4" t="s">
        <v>15</v>
      </c>
      <c r="H103" s="4" t="s">
        <v>15</v>
      </c>
      <c r="I103" s="4" t="s">
        <v>15</v>
      </c>
      <c r="J103" s="4" t="s">
        <v>15</v>
      </c>
    </row>
    <row r="104" spans="1:10" ht="16" x14ac:dyDescent="0.2">
      <c r="A104" s="3" t="s">
        <v>104</v>
      </c>
      <c r="B104" s="4">
        <v>80761000</v>
      </c>
      <c r="C104" s="4">
        <v>140436000</v>
      </c>
      <c r="D104" s="4">
        <v>228185000</v>
      </c>
      <c r="E104" s="4">
        <v>298223000</v>
      </c>
      <c r="F104" s="5">
        <v>366140000</v>
      </c>
      <c r="G104" s="4">
        <v>289043000</v>
      </c>
      <c r="H104" s="4">
        <v>298223000</v>
      </c>
      <c r="I104" s="4">
        <v>344885000</v>
      </c>
      <c r="J104" s="4">
        <v>366140000</v>
      </c>
    </row>
    <row r="105" spans="1:10" ht="16" x14ac:dyDescent="0.2">
      <c r="A105" s="3" t="s">
        <v>105</v>
      </c>
      <c r="B105" s="4">
        <v>0</v>
      </c>
      <c r="C105" s="4">
        <v>0</v>
      </c>
      <c r="D105" s="4">
        <v>0</v>
      </c>
      <c r="E105" s="4">
        <v>58638000</v>
      </c>
      <c r="F105" s="5">
        <v>50396000</v>
      </c>
      <c r="G105" s="4">
        <v>67148000</v>
      </c>
      <c r="H105" s="4">
        <v>58638000</v>
      </c>
      <c r="I105" s="4">
        <v>55058000</v>
      </c>
      <c r="J105" s="4">
        <v>50396000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v>58638000</v>
      </c>
      <c r="F107" s="5">
        <v>50396000</v>
      </c>
      <c r="G107" s="4">
        <v>67148000</v>
      </c>
      <c r="H107" s="4">
        <v>58638000</v>
      </c>
      <c r="I107" s="4">
        <v>55058000</v>
      </c>
      <c r="J107" s="4">
        <v>50396000</v>
      </c>
    </row>
    <row r="108" spans="1:10" ht="16" x14ac:dyDescent="0.2">
      <c r="A108" s="3" t="s">
        <v>108</v>
      </c>
      <c r="B108" s="4">
        <v>235008000</v>
      </c>
      <c r="C108" s="4">
        <v>234541000</v>
      </c>
      <c r="D108" s="4">
        <v>1612000</v>
      </c>
      <c r="E108" s="4">
        <v>2442000</v>
      </c>
      <c r="F108" s="5">
        <v>3046000</v>
      </c>
      <c r="G108" s="4">
        <v>2383000</v>
      </c>
      <c r="H108" s="4">
        <v>2442000</v>
      </c>
      <c r="I108" s="4">
        <v>2443000</v>
      </c>
      <c r="J108" s="4">
        <v>3046000</v>
      </c>
    </row>
    <row r="109" spans="1:10" ht="16" x14ac:dyDescent="0.2">
      <c r="A109" s="3" t="s">
        <v>109</v>
      </c>
      <c r="B109" s="4" t="s">
        <v>15</v>
      </c>
      <c r="C109" s="4" t="s">
        <v>15</v>
      </c>
      <c r="D109" s="4">
        <v>1612000</v>
      </c>
      <c r="E109" s="4">
        <v>2442000</v>
      </c>
      <c r="F109" s="5">
        <v>3046000</v>
      </c>
      <c r="G109" s="4" t="s">
        <v>15</v>
      </c>
      <c r="H109" s="4">
        <v>2442000</v>
      </c>
      <c r="I109" s="4">
        <v>2443000</v>
      </c>
      <c r="J109" s="4">
        <v>3046000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235008000</v>
      </c>
      <c r="C114" s="4">
        <v>234541000</v>
      </c>
      <c r="D114" s="4" t="s">
        <v>15</v>
      </c>
      <c r="E114" s="4" t="s">
        <v>15</v>
      </c>
      <c r="F114" s="5" t="s">
        <v>15</v>
      </c>
      <c r="G114" s="4">
        <v>2383000</v>
      </c>
      <c r="H114" s="4" t="s">
        <v>15</v>
      </c>
      <c r="I114" s="4" t="s">
        <v>15</v>
      </c>
      <c r="J114" s="4" t="s">
        <v>15</v>
      </c>
    </row>
    <row r="115" spans="1:10" ht="16" x14ac:dyDescent="0.2">
      <c r="A115" s="3" t="s">
        <v>112</v>
      </c>
      <c r="B115" s="4">
        <v>235008000</v>
      </c>
      <c r="C115" s="4">
        <v>234541000</v>
      </c>
      <c r="D115" s="4">
        <v>1612000</v>
      </c>
      <c r="E115" s="4">
        <v>61080000</v>
      </c>
      <c r="F115" s="5">
        <v>53442000</v>
      </c>
      <c r="G115" s="4">
        <v>69531000</v>
      </c>
      <c r="H115" s="4">
        <v>61080000</v>
      </c>
      <c r="I115" s="4">
        <v>57501000</v>
      </c>
      <c r="J115" s="4">
        <v>53442000</v>
      </c>
    </row>
    <row r="116" spans="1:10" ht="16" x14ac:dyDescent="0.2">
      <c r="A116" s="3" t="s">
        <v>113</v>
      </c>
      <c r="B116" s="4">
        <v>315769000</v>
      </c>
      <c r="C116" s="4">
        <v>374977000</v>
      </c>
      <c r="D116" s="4">
        <v>229797000</v>
      </c>
      <c r="E116" s="4">
        <v>359303000</v>
      </c>
      <c r="F116" s="5">
        <v>419582000</v>
      </c>
      <c r="G116" s="4">
        <v>358574000</v>
      </c>
      <c r="H116" s="4">
        <v>359303000</v>
      </c>
      <c r="I116" s="4">
        <v>402386000</v>
      </c>
      <c r="J116" s="4">
        <v>419582000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33542000</v>
      </c>
      <c r="C118" s="4">
        <v>98809000</v>
      </c>
      <c r="D118" s="4">
        <v>1149055000</v>
      </c>
      <c r="E118" s="4">
        <v>2530954000</v>
      </c>
      <c r="F118" s="5">
        <v>1327596000</v>
      </c>
      <c r="G118" s="4">
        <v>1238878000</v>
      </c>
      <c r="H118" s="4">
        <v>2530954000</v>
      </c>
      <c r="I118" s="4">
        <v>1295408000</v>
      </c>
      <c r="J118" s="4">
        <v>1327596000</v>
      </c>
    </row>
    <row r="119" spans="1:10" ht="16" x14ac:dyDescent="0.2">
      <c r="A119" s="3" t="s">
        <v>116</v>
      </c>
      <c r="B119" s="4" t="s">
        <v>15</v>
      </c>
      <c r="C119" s="4" t="s">
        <v>15</v>
      </c>
      <c r="D119" s="4">
        <v>594000</v>
      </c>
      <c r="E119" s="4">
        <v>1265477000</v>
      </c>
      <c r="F119" s="5">
        <v>1327596000</v>
      </c>
      <c r="G119" s="4">
        <v>1238878000</v>
      </c>
      <c r="H119" s="4">
        <v>1265477000</v>
      </c>
      <c r="I119" s="4">
        <v>1295408000</v>
      </c>
      <c r="J119" s="4">
        <v>1327596000</v>
      </c>
    </row>
    <row r="120" spans="1:10" ht="16" x14ac:dyDescent="0.2">
      <c r="A120" s="3" t="s">
        <v>117</v>
      </c>
      <c r="B120" s="4">
        <v>33542000</v>
      </c>
      <c r="C120" s="4">
        <v>98809000</v>
      </c>
      <c r="D120" s="4">
        <v>1148461000</v>
      </c>
      <c r="E120" s="4">
        <v>1265477000</v>
      </c>
      <c r="F120" s="5" t="s">
        <v>15</v>
      </c>
      <c r="G120" s="4" t="s">
        <v>15</v>
      </c>
      <c r="H120" s="4">
        <v>1265477000</v>
      </c>
      <c r="I120" s="4" t="s">
        <v>15</v>
      </c>
      <c r="J120" s="4" t="s">
        <v>15</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-164163000</v>
      </c>
      <c r="C122" s="4">
        <v>-316366000</v>
      </c>
      <c r="D122" s="4">
        <v>-445660000</v>
      </c>
      <c r="E122" s="4">
        <v>-582527000</v>
      </c>
      <c r="F122" s="5">
        <v>-604229000</v>
      </c>
      <c r="G122" s="4">
        <v>-581039000</v>
      </c>
      <c r="H122" s="4">
        <v>-582527000</v>
      </c>
      <c r="I122" s="4">
        <v>-597194000</v>
      </c>
      <c r="J122" s="4">
        <v>-604229000</v>
      </c>
    </row>
    <row r="123" spans="1:10" ht="16" x14ac:dyDescent="0.2">
      <c r="A123" s="3" t="s">
        <v>120</v>
      </c>
      <c r="B123" s="4" t="s">
        <v>15</v>
      </c>
      <c r="C123" s="4" t="s">
        <v>15</v>
      </c>
      <c r="D123" s="4">
        <v>594000</v>
      </c>
      <c r="E123" s="4">
        <v>-3210000</v>
      </c>
      <c r="F123" s="5">
        <v>-2111000</v>
      </c>
      <c r="G123" s="4">
        <v>-6338000</v>
      </c>
      <c r="H123" s="4">
        <v>-3210000</v>
      </c>
      <c r="I123" s="4">
        <v>-3034000</v>
      </c>
      <c r="J123" s="4">
        <v>-2111000</v>
      </c>
    </row>
    <row r="124" spans="1:10" ht="16" x14ac:dyDescent="0.2">
      <c r="A124" s="3" t="s">
        <v>121</v>
      </c>
      <c r="B124" s="4">
        <v>-130621000</v>
      </c>
      <c r="C124" s="4">
        <v>-217557000</v>
      </c>
      <c r="D124" s="4">
        <v>703395000</v>
      </c>
      <c r="E124" s="4">
        <v>679740000</v>
      </c>
      <c r="F124" s="5">
        <v>721256000</v>
      </c>
      <c r="G124" s="4">
        <v>651501000</v>
      </c>
      <c r="H124" s="4">
        <v>679740000</v>
      </c>
      <c r="I124" s="4">
        <v>695180000</v>
      </c>
      <c r="J124" s="4">
        <v>721256000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-130621000</v>
      </c>
      <c r="C126" s="4">
        <v>-217557000</v>
      </c>
      <c r="D126" s="4">
        <v>703395000</v>
      </c>
      <c r="E126" s="4">
        <v>679740000</v>
      </c>
      <c r="F126" s="5">
        <v>721256000</v>
      </c>
      <c r="G126" s="4">
        <v>651501000</v>
      </c>
      <c r="H126" s="4">
        <v>679740000</v>
      </c>
      <c r="I126" s="4">
        <v>695180000</v>
      </c>
      <c r="J126" s="4">
        <v>721256000</v>
      </c>
    </row>
    <row r="127" spans="1:10" ht="16" x14ac:dyDescent="0.2">
      <c r="A127" s="3" t="s">
        <v>124</v>
      </c>
      <c r="B127" s="4">
        <v>185148000</v>
      </c>
      <c r="C127" s="4">
        <v>157420000</v>
      </c>
      <c r="D127" s="4">
        <v>933192000</v>
      </c>
      <c r="E127" s="4">
        <v>1039043000</v>
      </c>
      <c r="F127" s="5">
        <v>1140838000</v>
      </c>
      <c r="G127" s="4">
        <v>1010075000</v>
      </c>
      <c r="H127" s="4">
        <v>1039043000</v>
      </c>
      <c r="I127" s="4">
        <v>1097566000</v>
      </c>
      <c r="J127" s="4">
        <v>1140838000</v>
      </c>
    </row>
    <row r="128" spans="1:10" ht="16" x14ac:dyDescent="0.2">
      <c r="A128" s="36" t="s">
        <v>125</v>
      </c>
      <c r="B128" s="34">
        <v>38833000</v>
      </c>
      <c r="C128" s="34">
        <v>43724000</v>
      </c>
      <c r="D128" s="34">
        <v>44924000</v>
      </c>
      <c r="E128" s="34">
        <v>47738000</v>
      </c>
      <c r="F128" s="35">
        <v>48278000</v>
      </c>
      <c r="G128" s="34">
        <v>47738000</v>
      </c>
      <c r="H128" s="34">
        <v>47738000</v>
      </c>
      <c r="I128" s="34">
        <v>48278000</v>
      </c>
      <c r="J128" s="34">
        <v>48278000</v>
      </c>
    </row>
    <row r="129" spans="1:10" ht="16" x14ac:dyDescent="0.2">
      <c r="A129" s="13" t="s">
        <v>188</v>
      </c>
      <c r="B129" s="14"/>
      <c r="C129" s="19">
        <f>(C128/B128)-1</f>
        <v>0.12594957896634296</v>
      </c>
      <c r="D129" s="19">
        <f>(D128/C128)-1</f>
        <v>2.7444881529594678E-2</v>
      </c>
      <c r="E129" s="19">
        <f>(E128/D128)-1</f>
        <v>6.2639123853619472E-2</v>
      </c>
      <c r="F129" s="19">
        <f t="shared" ref="F129:J129" si="6">(F128/E128)-1</f>
        <v>1.1311743265323138E-2</v>
      </c>
      <c r="G129" s="19">
        <f t="shared" si="6"/>
        <v>-1.1185218940304109E-2</v>
      </c>
      <c r="H129" s="19">
        <f t="shared" si="6"/>
        <v>0</v>
      </c>
      <c r="I129" s="19">
        <f t="shared" si="6"/>
        <v>1.1311743265323138E-2</v>
      </c>
      <c r="J129" s="19">
        <f t="shared" si="6"/>
        <v>0</v>
      </c>
    </row>
    <row r="130" spans="1:10" ht="16" x14ac:dyDescent="0.2">
      <c r="A130" s="3" t="s">
        <v>126</v>
      </c>
      <c r="B130" s="4">
        <v>84000</v>
      </c>
      <c r="C130" s="4">
        <v>88000</v>
      </c>
      <c r="D130" s="4">
        <v>84000</v>
      </c>
      <c r="E130" s="4">
        <v>77721000</v>
      </c>
      <c r="F130" s="5">
        <v>69348000</v>
      </c>
      <c r="G130" s="4">
        <v>84022000</v>
      </c>
      <c r="H130" s="4">
        <v>77721000</v>
      </c>
      <c r="I130" s="4">
        <v>74683000</v>
      </c>
      <c r="J130" s="4">
        <v>69348000</v>
      </c>
    </row>
    <row r="131" spans="1:10" ht="16" x14ac:dyDescent="0.2">
      <c r="A131" s="3" t="s">
        <v>127</v>
      </c>
      <c r="B131" s="4">
        <v>-158571000</v>
      </c>
      <c r="C131" s="4">
        <v>-108798000</v>
      </c>
      <c r="D131" s="4">
        <v>-886812000</v>
      </c>
      <c r="E131" s="4">
        <v>-885894000</v>
      </c>
      <c r="F131" s="5">
        <v>-989377000</v>
      </c>
      <c r="G131" s="4">
        <v>-852568000</v>
      </c>
      <c r="H131" s="4">
        <v>-885894000</v>
      </c>
      <c r="I131" s="4">
        <v>-935565000</v>
      </c>
      <c r="J131" s="4">
        <v>-989377000</v>
      </c>
    </row>
    <row r="132" spans="1:10" ht="16" x14ac:dyDescent="0.2">
      <c r="A132" s="3" t="s">
        <v>128</v>
      </c>
      <c r="B132" s="6">
        <v>121.4</v>
      </c>
      <c r="C132" s="6">
        <v>50.01</v>
      </c>
      <c r="D132" s="6">
        <v>-126.08</v>
      </c>
      <c r="E132" s="6">
        <v>-130.33000000000001</v>
      </c>
      <c r="F132" s="7">
        <v>-137.16999999999999</v>
      </c>
      <c r="G132" s="6">
        <v>-130.86000000000001</v>
      </c>
      <c r="H132" s="6">
        <v>-130.33000000000001</v>
      </c>
      <c r="I132" s="6">
        <v>-134.58000000000001</v>
      </c>
      <c r="J132" s="6">
        <v>-137.16999999999999</v>
      </c>
    </row>
    <row r="133" spans="1:10" ht="16" x14ac:dyDescent="0.2">
      <c r="A133" s="3" t="s">
        <v>129</v>
      </c>
      <c r="B133" s="6">
        <v>-70.55</v>
      </c>
      <c r="C133" s="6">
        <v>-138.19999999999999</v>
      </c>
      <c r="D133" s="6">
        <v>75.38</v>
      </c>
      <c r="E133" s="6">
        <v>65.42</v>
      </c>
      <c r="F133" s="7">
        <v>63.22</v>
      </c>
      <c r="G133" s="6">
        <v>64.5</v>
      </c>
      <c r="H133" s="6">
        <v>65.42</v>
      </c>
      <c r="I133" s="6">
        <v>63.34</v>
      </c>
      <c r="J133" s="6">
        <v>63.22</v>
      </c>
    </row>
    <row r="134" spans="1:10" ht="16" x14ac:dyDescent="0.2">
      <c r="A134" s="3" t="s">
        <v>130</v>
      </c>
      <c r="B134" s="6">
        <v>2.25</v>
      </c>
      <c r="C134" s="6">
        <v>1.05</v>
      </c>
      <c r="D134" s="4">
        <v>4</v>
      </c>
      <c r="E134" s="6">
        <v>3.1</v>
      </c>
      <c r="F134" s="7">
        <v>2.82</v>
      </c>
      <c r="G134" s="6">
        <v>3.08</v>
      </c>
      <c r="H134" s="6">
        <v>3.1</v>
      </c>
      <c r="I134" s="6">
        <v>2.85</v>
      </c>
      <c r="J134" s="6">
        <v>2.82</v>
      </c>
    </row>
    <row r="135" spans="1:10" ht="16" x14ac:dyDescent="0.2">
      <c r="A135" s="3" t="s">
        <v>131</v>
      </c>
      <c r="B135" s="4" t="s">
        <v>15</v>
      </c>
      <c r="C135" s="6">
        <v>-354.31</v>
      </c>
      <c r="D135" s="6">
        <v>-223.48</v>
      </c>
      <c r="E135" s="6">
        <v>-77.25</v>
      </c>
      <c r="F135" s="7">
        <v>-48.16</v>
      </c>
      <c r="G135" s="6">
        <v>-79.03</v>
      </c>
      <c r="H135" s="6">
        <v>-77.25</v>
      </c>
      <c r="I135" s="6">
        <v>-67.08</v>
      </c>
      <c r="J135" s="6">
        <v>-48.16</v>
      </c>
    </row>
    <row r="136" spans="1:10" ht="16" x14ac:dyDescent="0.2">
      <c r="A136" s="3" t="s">
        <v>132</v>
      </c>
      <c r="B136" s="4" t="s">
        <v>15</v>
      </c>
      <c r="C136" s="4">
        <v>705</v>
      </c>
      <c r="D136" s="4">
        <v>1064</v>
      </c>
      <c r="E136" s="4">
        <v>1549</v>
      </c>
      <c r="F136" s="5">
        <v>1549</v>
      </c>
      <c r="G136" s="4">
        <v>1064</v>
      </c>
      <c r="H136" s="4">
        <v>1549</v>
      </c>
      <c r="I136" s="4">
        <v>1549</v>
      </c>
      <c r="J136" s="4">
        <v>1549</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-91611000</v>
      </c>
      <c r="C139" s="4">
        <v>-152203000</v>
      </c>
      <c r="D139" s="4">
        <v>-129294000</v>
      </c>
      <c r="E139" s="4">
        <v>-136867000</v>
      </c>
      <c r="F139" s="5">
        <v>-46220000</v>
      </c>
      <c r="G139" s="4">
        <v>-23030000</v>
      </c>
      <c r="H139" s="4">
        <v>-1488000</v>
      </c>
      <c r="I139" s="4">
        <v>-14667000</v>
      </c>
      <c r="J139" s="4">
        <v>-7035000</v>
      </c>
    </row>
    <row r="140" spans="1:10" ht="16" x14ac:dyDescent="0.2">
      <c r="A140" s="3" t="s">
        <v>134</v>
      </c>
      <c r="B140" s="4">
        <v>579000</v>
      </c>
      <c r="C140" s="4">
        <v>1888000</v>
      </c>
      <c r="D140" s="4">
        <v>2746000</v>
      </c>
      <c r="E140" s="4">
        <v>8567000</v>
      </c>
      <c r="F140" s="5">
        <v>10179000</v>
      </c>
      <c r="G140" s="4">
        <v>2860000</v>
      </c>
      <c r="H140" s="4">
        <v>3183000</v>
      </c>
      <c r="I140" s="4">
        <v>1972000</v>
      </c>
      <c r="J140" s="4">
        <v>2164000</v>
      </c>
    </row>
    <row r="141" spans="1:10" ht="16" x14ac:dyDescent="0.2">
      <c r="A141" s="3" t="s">
        <v>135</v>
      </c>
      <c r="B141" s="4">
        <v>21860000</v>
      </c>
      <c r="C141" s="4">
        <v>64331000</v>
      </c>
      <c r="D141" s="4">
        <v>73589000</v>
      </c>
      <c r="E141" s="4">
        <v>104920000</v>
      </c>
      <c r="F141" s="5">
        <v>101675000</v>
      </c>
      <c r="G141" s="4">
        <v>26054000</v>
      </c>
      <c r="H141" s="4">
        <v>24378000</v>
      </c>
      <c r="I141" s="4">
        <v>22459000</v>
      </c>
      <c r="J141" s="4">
        <v>28784000</v>
      </c>
    </row>
    <row r="142" spans="1:10" ht="16" x14ac:dyDescent="0.2">
      <c r="A142" s="36" t="s">
        <v>136</v>
      </c>
      <c r="B142" s="34">
        <v>21839000</v>
      </c>
      <c r="C142" s="34">
        <v>64345000</v>
      </c>
      <c r="D142" s="34">
        <v>73529000</v>
      </c>
      <c r="E142" s="34">
        <v>104920000</v>
      </c>
      <c r="F142" s="35">
        <v>101675000</v>
      </c>
      <c r="G142" s="34">
        <v>26054000</v>
      </c>
      <c r="H142" s="34">
        <v>24378000</v>
      </c>
      <c r="I142" s="34">
        <v>22459000</v>
      </c>
      <c r="J142" s="34">
        <v>28784000</v>
      </c>
    </row>
    <row r="143" spans="1:10" ht="16" x14ac:dyDescent="0.2">
      <c r="A143" s="9" t="s">
        <v>189</v>
      </c>
      <c r="B143" s="19">
        <f t="shared" ref="B143:J143" si="7">B142/B2</f>
        <v>0.27966807104713853</v>
      </c>
      <c r="C143" s="19">
        <f t="shared" si="7"/>
        <v>0.39935328910211454</v>
      </c>
      <c r="D143" s="19">
        <f t="shared" si="7"/>
        <v>0.23861431121207205</v>
      </c>
      <c r="E143" s="19">
        <f t="shared" si="7"/>
        <v>0.20214670085871889</v>
      </c>
      <c r="F143" s="19">
        <f t="shared" si="7"/>
        <v>0.16274535853598807</v>
      </c>
      <c r="G143" s="19">
        <f t="shared" si="7"/>
        <v>0.19032382956031352</v>
      </c>
      <c r="H143" s="19">
        <f t="shared" si="7"/>
        <v>0.16260563896985747</v>
      </c>
      <c r="I143" s="19">
        <f t="shared" si="7"/>
        <v>0.13841706932255202</v>
      </c>
      <c r="J143" s="19">
        <f t="shared" si="7"/>
        <v>0.16384428417739172</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21000</v>
      </c>
      <c r="C146" s="4">
        <v>-14000</v>
      </c>
      <c r="D146" s="4">
        <v>60000</v>
      </c>
      <c r="E146" s="4" t="s">
        <v>15</v>
      </c>
      <c r="F146" s="5" t="s">
        <v>15</v>
      </c>
      <c r="G146" s="4" t="s">
        <v>15</v>
      </c>
      <c r="H146" s="4" t="s">
        <v>15</v>
      </c>
      <c r="I146" s="4" t="s">
        <v>15</v>
      </c>
      <c r="J146" s="4" t="s">
        <v>15</v>
      </c>
    </row>
    <row r="147" spans="1:10" ht="16" x14ac:dyDescent="0.2">
      <c r="A147" s="3" t="s">
        <v>140</v>
      </c>
      <c r="B147" s="4">
        <v>32522000</v>
      </c>
      <c r="C147" s="4">
        <v>48809000</v>
      </c>
      <c r="D147" s="4">
        <v>69314000</v>
      </c>
      <c r="E147" s="4">
        <v>50518000</v>
      </c>
      <c r="F147" s="5">
        <v>78794000</v>
      </c>
      <c r="G147" s="4">
        <v>14146000</v>
      </c>
      <c r="H147" s="4">
        <v>8008000</v>
      </c>
      <c r="I147" s="4">
        <v>32964000</v>
      </c>
      <c r="J147" s="4">
        <v>23676000</v>
      </c>
    </row>
    <row r="148" spans="1:10" ht="16" x14ac:dyDescent="0.2">
      <c r="A148" s="3" t="s">
        <v>141</v>
      </c>
      <c r="B148" s="4">
        <v>-3101000</v>
      </c>
      <c r="C148" s="4">
        <v>-472000</v>
      </c>
      <c r="D148" s="4">
        <v>-4598000</v>
      </c>
      <c r="E148" s="4">
        <v>-4717000</v>
      </c>
      <c r="F148" s="5">
        <v>-5626000</v>
      </c>
      <c r="G148" s="4">
        <v>-4956000</v>
      </c>
      <c r="H148" s="4">
        <v>1240000</v>
      </c>
      <c r="I148" s="4">
        <v>-5760000</v>
      </c>
      <c r="J148" s="4">
        <v>3850000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-1313000</v>
      </c>
      <c r="C150" s="4">
        <v>-1828000</v>
      </c>
      <c r="D150" s="4">
        <v>-13335000</v>
      </c>
      <c r="E150" s="4">
        <v>6490000</v>
      </c>
      <c r="F150" s="5">
        <v>15772000</v>
      </c>
      <c r="G150" s="4">
        <v>5638000</v>
      </c>
      <c r="H150" s="4">
        <v>4147000</v>
      </c>
      <c r="I150" s="4">
        <v>-162000</v>
      </c>
      <c r="J150" s="4">
        <v>6149000</v>
      </c>
    </row>
    <row r="151" spans="1:10" ht="16" x14ac:dyDescent="0.2">
      <c r="A151" s="3" t="s">
        <v>144</v>
      </c>
      <c r="B151" s="4">
        <v>14441000</v>
      </c>
      <c r="C151" s="4">
        <v>21371000</v>
      </c>
      <c r="D151" s="4">
        <v>23528000</v>
      </c>
      <c r="E151" s="4">
        <v>-15746000</v>
      </c>
      <c r="F151" s="5">
        <v>-1514000</v>
      </c>
      <c r="G151" s="4">
        <v>1961000</v>
      </c>
      <c r="H151" s="4">
        <v>-6923000</v>
      </c>
      <c r="I151" s="4">
        <v>7920000</v>
      </c>
      <c r="J151" s="4">
        <v>-4472000</v>
      </c>
    </row>
    <row r="152" spans="1:10" ht="16" x14ac:dyDescent="0.2">
      <c r="A152" s="3" t="s">
        <v>145</v>
      </c>
      <c r="B152" s="4">
        <v>22495000</v>
      </c>
      <c r="C152" s="4">
        <v>29738000</v>
      </c>
      <c r="D152" s="4">
        <v>63719000</v>
      </c>
      <c r="E152" s="4">
        <v>64491000</v>
      </c>
      <c r="F152" s="5">
        <v>70162000</v>
      </c>
      <c r="G152" s="4">
        <v>11503000</v>
      </c>
      <c r="H152" s="4">
        <v>9544000</v>
      </c>
      <c r="I152" s="4">
        <v>30966000</v>
      </c>
      <c r="J152" s="4">
        <v>18149000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-36650000</v>
      </c>
      <c r="C154" s="4">
        <v>-37175000</v>
      </c>
      <c r="D154" s="4">
        <v>16355000</v>
      </c>
      <c r="E154" s="4">
        <v>27138000</v>
      </c>
      <c r="F154" s="5">
        <v>144428000</v>
      </c>
      <c r="G154" s="4">
        <v>20030000</v>
      </c>
      <c r="H154" s="4">
        <v>34081000</v>
      </c>
      <c r="I154" s="4">
        <v>42728000</v>
      </c>
      <c r="J154" s="4">
        <v>47589000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v>129000</v>
      </c>
      <c r="E156" s="4" t="s">
        <v>15</v>
      </c>
      <c r="F156" s="5" t="s">
        <v>15</v>
      </c>
      <c r="G156" s="4" t="s">
        <v>15</v>
      </c>
      <c r="H156" s="4" t="s">
        <v>15</v>
      </c>
      <c r="I156" s="4" t="s">
        <v>15</v>
      </c>
      <c r="J156" s="4" t="s">
        <v>15</v>
      </c>
    </row>
    <row r="157" spans="1:10" ht="16" x14ac:dyDescent="0.2">
      <c r="A157" s="3" t="s">
        <v>150</v>
      </c>
      <c r="B157" s="4" t="s">
        <v>15</v>
      </c>
      <c r="C157" s="4" t="s">
        <v>15</v>
      </c>
      <c r="D157" s="4">
        <v>129000</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-1402000</v>
      </c>
      <c r="C159" s="4">
        <v>-4362000</v>
      </c>
      <c r="D159" s="4">
        <v>-11578000</v>
      </c>
      <c r="E159" s="4">
        <v>-16003000</v>
      </c>
      <c r="F159" s="5">
        <v>-13783000</v>
      </c>
      <c r="G159" s="4">
        <v>-5339000</v>
      </c>
      <c r="H159" s="4">
        <v>-3760000</v>
      </c>
      <c r="I159" s="4">
        <v>-3561000</v>
      </c>
      <c r="J159" s="4">
        <v>-1123000</v>
      </c>
    </row>
    <row r="160" spans="1:10" ht="16" x14ac:dyDescent="0.2">
      <c r="A160" s="3" t="s">
        <v>153</v>
      </c>
      <c r="B160" s="4">
        <v>-1402000</v>
      </c>
      <c r="C160" s="4">
        <v>-4362000</v>
      </c>
      <c r="D160" s="4">
        <v>-11578000</v>
      </c>
      <c r="E160" s="4">
        <v>-16003000</v>
      </c>
      <c r="F160" s="5">
        <v>-13783000</v>
      </c>
      <c r="G160" s="4">
        <v>-5339000</v>
      </c>
      <c r="H160" s="4">
        <v>-3760000</v>
      </c>
      <c r="I160" s="4">
        <v>-3561000</v>
      </c>
      <c r="J160" s="4">
        <v>-1123000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t="s">
        <v>15</v>
      </c>
      <c r="C165" s="4" t="s">
        <v>15</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14635000</v>
      </c>
      <c r="C169" s="4">
        <v>-7119000</v>
      </c>
      <c r="D169" s="4">
        <v>7820000</v>
      </c>
      <c r="E169" s="4">
        <v>-2998000</v>
      </c>
      <c r="F169" s="5">
        <v>-2407000</v>
      </c>
      <c r="G169" s="4">
        <v>-732000</v>
      </c>
      <c r="H169" s="4">
        <v>-656000</v>
      </c>
      <c r="I169" s="4">
        <v>-485000</v>
      </c>
      <c r="J169" s="4">
        <v>-534000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13233000</v>
      </c>
      <c r="C171" s="4">
        <v>-11481000</v>
      </c>
      <c r="D171" s="4">
        <v>-3629000</v>
      </c>
      <c r="E171" s="4">
        <v>-19001000</v>
      </c>
      <c r="F171" s="5">
        <v>-16190000</v>
      </c>
      <c r="G171" s="4">
        <v>-6071000</v>
      </c>
      <c r="H171" s="4">
        <v>-4416000</v>
      </c>
      <c r="I171" s="4">
        <v>-4046000</v>
      </c>
      <c r="J171" s="4">
        <v>-1657000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v>8493000</v>
      </c>
      <c r="C173" s="4">
        <v>7928000</v>
      </c>
      <c r="D173" s="4">
        <v>-21091000</v>
      </c>
      <c r="E173" s="4">
        <v>-84000</v>
      </c>
      <c r="F173" s="5">
        <v>-41000</v>
      </c>
      <c r="G173" s="4">
        <v>-18000</v>
      </c>
      <c r="H173" s="4">
        <v>-23000</v>
      </c>
      <c r="I173" s="4" t="s">
        <v>15</v>
      </c>
      <c r="J173" s="4" t="s">
        <v>15</v>
      </c>
    </row>
    <row r="174" spans="1:10" ht="16" x14ac:dyDescent="0.2">
      <c r="A174" s="3" t="s">
        <v>166</v>
      </c>
      <c r="B174" s="4">
        <v>8500000</v>
      </c>
      <c r="C174" s="4">
        <v>8000000</v>
      </c>
      <c r="D174" s="4" t="s">
        <v>15</v>
      </c>
      <c r="E174" s="4" t="s">
        <v>15</v>
      </c>
      <c r="F174" s="5" t="s">
        <v>15</v>
      </c>
      <c r="G174" s="4" t="s">
        <v>15</v>
      </c>
      <c r="H174" s="4" t="s">
        <v>15</v>
      </c>
      <c r="I174" s="4" t="s">
        <v>15</v>
      </c>
      <c r="J174" s="4" t="s">
        <v>15</v>
      </c>
    </row>
    <row r="175" spans="1:10" ht="16" x14ac:dyDescent="0.2">
      <c r="A175" s="3" t="s">
        <v>167</v>
      </c>
      <c r="B175" s="4">
        <v>-7000</v>
      </c>
      <c r="C175" s="4">
        <v>-72000</v>
      </c>
      <c r="D175" s="4">
        <v>-21091000</v>
      </c>
      <c r="E175" s="4">
        <v>-84000</v>
      </c>
      <c r="F175" s="5">
        <v>-41000</v>
      </c>
      <c r="G175" s="4">
        <v>-18000</v>
      </c>
      <c r="H175" s="4">
        <v>-23000</v>
      </c>
      <c r="I175" s="4" t="s">
        <v>15</v>
      </c>
      <c r="J175" s="4" t="s">
        <v>15</v>
      </c>
    </row>
    <row r="176" spans="1:10" ht="16" x14ac:dyDescent="0.2">
      <c r="A176" s="3" t="s">
        <v>168</v>
      </c>
      <c r="B176" s="4" t="s">
        <v>15</v>
      </c>
      <c r="C176" s="4" t="s">
        <v>15</v>
      </c>
      <c r="D176" s="4">
        <v>735856000</v>
      </c>
      <c r="E176" s="4" t="s">
        <v>15</v>
      </c>
      <c r="F176" s="5" t="s">
        <v>15</v>
      </c>
      <c r="G176" s="4" t="s">
        <v>15</v>
      </c>
      <c r="H176" s="4" t="s">
        <v>15</v>
      </c>
      <c r="I176" s="4" t="s">
        <v>15</v>
      </c>
      <c r="J176" s="4" t="s">
        <v>15</v>
      </c>
    </row>
    <row r="177" spans="1:10" ht="16" x14ac:dyDescent="0.2">
      <c r="A177" s="3" t="s">
        <v>169</v>
      </c>
      <c r="B177" s="4" t="s">
        <v>15</v>
      </c>
      <c r="C177" s="4" t="s">
        <v>15</v>
      </c>
      <c r="D177" s="4">
        <v>735856000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149953000</v>
      </c>
      <c r="C179" s="4">
        <v>542000</v>
      </c>
      <c r="D179" s="4">
        <v>27507000</v>
      </c>
      <c r="E179" s="4">
        <v>-8971000</v>
      </c>
      <c r="F179" s="5">
        <v>26560000</v>
      </c>
      <c r="G179" s="4">
        <v>4007000</v>
      </c>
      <c r="H179" s="4">
        <v>3684000</v>
      </c>
      <c r="I179" s="4">
        <v>10989000</v>
      </c>
      <c r="J179" s="4">
        <v>7880000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158446000</v>
      </c>
      <c r="C181" s="4">
        <v>8470000</v>
      </c>
      <c r="D181" s="4">
        <v>742272000</v>
      </c>
      <c r="E181" s="4">
        <v>-9055000</v>
      </c>
      <c r="F181" s="5">
        <v>26519000</v>
      </c>
      <c r="G181" s="4">
        <v>3989000</v>
      </c>
      <c r="H181" s="4">
        <v>3661000</v>
      </c>
      <c r="I181" s="4">
        <v>10989000</v>
      </c>
      <c r="J181" s="4">
        <v>7880000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135029000</v>
      </c>
      <c r="C183" s="4">
        <v>-40186000</v>
      </c>
      <c r="D183" s="4">
        <v>754998000</v>
      </c>
      <c r="E183" s="4">
        <v>-918000</v>
      </c>
      <c r="F183" s="5">
        <v>154757000</v>
      </c>
      <c r="G183" s="4">
        <v>17948000</v>
      </c>
      <c r="H183" s="4">
        <v>33326000</v>
      </c>
      <c r="I183" s="4">
        <v>49671000</v>
      </c>
      <c r="J183" s="4">
        <v>53812000</v>
      </c>
    </row>
    <row r="184" spans="1:10" ht="16" x14ac:dyDescent="0.2">
      <c r="A184" s="3" t="s">
        <v>45</v>
      </c>
      <c r="B184" s="4">
        <v>-91939000</v>
      </c>
      <c r="C184" s="4">
        <v>-148649000</v>
      </c>
      <c r="D184" s="4">
        <v>-123379000</v>
      </c>
      <c r="E184" s="4">
        <v>-143448000</v>
      </c>
      <c r="F184" s="5">
        <v>-63079000</v>
      </c>
      <c r="G184" s="4">
        <v>-25379000</v>
      </c>
      <c r="H184" s="4">
        <v>-6917000</v>
      </c>
      <c r="I184" s="4">
        <v>-20780000</v>
      </c>
      <c r="J184" s="4">
        <v>-10003000</v>
      </c>
    </row>
    <row r="185" spans="1:10" ht="16" x14ac:dyDescent="0.2">
      <c r="A185" s="3" t="s">
        <v>46</v>
      </c>
      <c r="B185" s="6">
        <v>-117.74</v>
      </c>
      <c r="C185" s="6">
        <v>-92.26</v>
      </c>
      <c r="D185" s="6">
        <v>-40.04</v>
      </c>
      <c r="E185" s="6">
        <v>-27.64</v>
      </c>
      <c r="F185" s="7">
        <v>-10.1</v>
      </c>
      <c r="G185" s="6">
        <v>-35.979999999999997</v>
      </c>
      <c r="H185" s="6">
        <v>-27.64</v>
      </c>
      <c r="I185" s="6">
        <v>-17.079999999999998</v>
      </c>
      <c r="J185" s="6">
        <v>-10.1</v>
      </c>
    </row>
    <row r="186" spans="1:10" ht="16" x14ac:dyDescent="0.2">
      <c r="A186" s="3" t="s">
        <v>175</v>
      </c>
      <c r="B186" s="4" t="s">
        <v>15</v>
      </c>
      <c r="C186" s="4" t="s">
        <v>15</v>
      </c>
      <c r="D186" s="4" t="s">
        <v>15</v>
      </c>
      <c r="E186" s="4" t="s">
        <v>15</v>
      </c>
      <c r="F186" s="5" t="s">
        <v>15</v>
      </c>
      <c r="G186" s="4" t="s">
        <v>15</v>
      </c>
      <c r="H186" s="4" t="s">
        <v>15</v>
      </c>
      <c r="I186" s="4" t="s">
        <v>15</v>
      </c>
      <c r="J186" s="4" t="s">
        <v>15</v>
      </c>
    </row>
    <row r="187" spans="1:10" ht="16" x14ac:dyDescent="0.2">
      <c r="A187" s="3" t="s">
        <v>176</v>
      </c>
      <c r="B187" s="4">
        <v>-38052000</v>
      </c>
      <c r="C187" s="4">
        <v>-41537000</v>
      </c>
      <c r="D187" s="4">
        <v>4777000</v>
      </c>
      <c r="E187" s="4">
        <v>11135000</v>
      </c>
      <c r="F187" s="5">
        <v>130645000</v>
      </c>
      <c r="G187" s="4">
        <v>14691000</v>
      </c>
      <c r="H187" s="4">
        <v>30321000</v>
      </c>
      <c r="I187" s="4">
        <v>39167000</v>
      </c>
      <c r="J187" s="4">
        <v>46466000</v>
      </c>
    </row>
    <row r="188" spans="1:10" ht="16" x14ac:dyDescent="0.2">
      <c r="A188" s="36" t="s">
        <v>177</v>
      </c>
      <c r="B188" s="34">
        <v>-38052000</v>
      </c>
      <c r="C188" s="34">
        <v>-41537000</v>
      </c>
      <c r="D188" s="34">
        <v>4777000</v>
      </c>
      <c r="E188" s="34">
        <v>11135000</v>
      </c>
      <c r="F188" s="35">
        <v>130645000</v>
      </c>
      <c r="G188" s="34">
        <v>14691000</v>
      </c>
      <c r="H188" s="34">
        <v>30321000</v>
      </c>
      <c r="I188" s="34">
        <v>39167000</v>
      </c>
      <c r="J188" s="34">
        <v>46466000</v>
      </c>
    </row>
    <row r="189" spans="1:10" ht="16" x14ac:dyDescent="0.2">
      <c r="A189" s="20" t="s">
        <v>190</v>
      </c>
      <c r="B189" s="21"/>
      <c r="C189" s="22">
        <f>(C188/B188)-1</f>
        <v>9.1585199201093204E-2</v>
      </c>
      <c r="D189" s="22">
        <f>(D188/C188)-1</f>
        <v>-1.115005898355683</v>
      </c>
      <c r="E189" s="22">
        <f>(E188/D188)-1</f>
        <v>1.3309608540925266</v>
      </c>
      <c r="F189" s="22">
        <f t="shared" ref="F189:J189" si="8">(F188/E188)-1</f>
        <v>10.732824427480915</v>
      </c>
      <c r="G189" s="22"/>
      <c r="H189" s="22">
        <f t="shared" si="8"/>
        <v>1.063916683683888</v>
      </c>
      <c r="I189" s="22">
        <f t="shared" si="8"/>
        <v>0.29174499521783592</v>
      </c>
      <c r="J189" s="22">
        <f t="shared" si="8"/>
        <v>0.1863558608011846</v>
      </c>
    </row>
    <row r="190" spans="1:10" ht="16" x14ac:dyDescent="0.2">
      <c r="A190" s="23" t="s">
        <v>191</v>
      </c>
      <c r="B190" s="24">
        <f t="shared" ref="B190:J190" si="9">B188/B2</f>
        <v>-0.48729014329803172</v>
      </c>
      <c r="C190" s="24">
        <f t="shared" si="9"/>
        <v>-0.25779683844019785</v>
      </c>
      <c r="D190" s="24">
        <f t="shared" si="9"/>
        <v>1.550219049164368E-2</v>
      </c>
      <c r="E190" s="24">
        <f t="shared" si="9"/>
        <v>2.1453521864866897E-2</v>
      </c>
      <c r="F190" s="24">
        <f t="shared" si="9"/>
        <v>0.20911598097796075</v>
      </c>
      <c r="G190" s="24">
        <f t="shared" si="9"/>
        <v>0.10731739387696961</v>
      </c>
      <c r="H190" s="24">
        <f t="shared" si="9"/>
        <v>0.2022465164986893</v>
      </c>
      <c r="I190" s="24">
        <f t="shared" si="9"/>
        <v>0.24139014890050292</v>
      </c>
      <c r="J190" s="24">
        <f t="shared" si="9"/>
        <v>0.26449376419492371</v>
      </c>
    </row>
    <row r="191" spans="1:10" ht="16" x14ac:dyDescent="0.2">
      <c r="A191" s="3" t="s">
        <v>178</v>
      </c>
      <c r="B191" s="4" t="s">
        <v>15</v>
      </c>
      <c r="C191" s="4">
        <v>-33609000</v>
      </c>
      <c r="D191" s="4">
        <v>-24388000</v>
      </c>
      <c r="E191" s="4">
        <v>11051000</v>
      </c>
      <c r="F191" s="5">
        <v>130604000</v>
      </c>
      <c r="G191" s="4">
        <v>14673000</v>
      </c>
      <c r="H191" s="4">
        <v>30298000</v>
      </c>
      <c r="I191" s="4">
        <v>39167000</v>
      </c>
      <c r="J191" s="4">
        <v>46466000</v>
      </c>
    </row>
    <row r="192" spans="1:10" ht="16" x14ac:dyDescent="0.2">
      <c r="A192" s="3" t="s">
        <v>179</v>
      </c>
      <c r="B192" s="6">
        <v>-0.98</v>
      </c>
      <c r="C192" s="6">
        <v>-1.07</v>
      </c>
      <c r="D192" s="6">
        <v>0.16</v>
      </c>
      <c r="E192" s="6">
        <v>0.24</v>
      </c>
      <c r="F192" s="7">
        <v>2.76</v>
      </c>
      <c r="G192" s="6">
        <v>0.32</v>
      </c>
      <c r="H192" s="6">
        <v>0.64</v>
      </c>
      <c r="I192" s="6">
        <v>0.82</v>
      </c>
      <c r="J192" s="6">
        <v>0.96</v>
      </c>
    </row>
    <row r="193" spans="1:10" ht="16" x14ac:dyDescent="0.2">
      <c r="A193" s="3" t="s">
        <v>180</v>
      </c>
      <c r="B193" s="4" t="s">
        <v>15</v>
      </c>
      <c r="C193" s="4" t="s">
        <v>15</v>
      </c>
      <c r="D193" s="6">
        <v>335.23</v>
      </c>
      <c r="E193" s="6">
        <v>129.53</v>
      </c>
      <c r="F193" s="7">
        <v>51.21</v>
      </c>
      <c r="G193" s="4" t="s">
        <v>15</v>
      </c>
      <c r="H193" s="4" t="s">
        <v>15</v>
      </c>
      <c r="I193" s="6">
        <v>69.61</v>
      </c>
      <c r="J193" s="4">
        <v>53</v>
      </c>
    </row>
    <row r="194" spans="1:10" ht="16" x14ac:dyDescent="0.2">
      <c r="A194" s="3" t="s">
        <v>181</v>
      </c>
      <c r="B194" s="6">
        <v>0.4</v>
      </c>
      <c r="C194" s="6">
        <v>0.24</v>
      </c>
      <c r="D194" s="6">
        <v>-0.13</v>
      </c>
      <c r="E194" s="6">
        <v>-0.2</v>
      </c>
      <c r="F194" s="7">
        <v>-3.12</v>
      </c>
      <c r="G194" s="6">
        <v>-0.87</v>
      </c>
      <c r="H194" s="6">
        <v>-22.9</v>
      </c>
      <c r="I194" s="6">
        <v>-2.91</v>
      </c>
      <c r="J194" s="6">
        <v>-6.76</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19 A191:J195 A2:J2 A9:J11 A13:J13 A37:J104 A130:J142 A144:J171 A188 H188 A173:J187 A172:E172 G172:J172 A21:J33 A20:E20 G20:J20 A106:J128 A105 E105:J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D97FA-5184-2949-A911-25C307FED7F6}">
  <dimension ref="A1:P110"/>
  <sheetViews>
    <sheetView tabSelected="1" workbookViewId="0">
      <selection activeCell="H10" sqref="H10"/>
    </sheetView>
  </sheetViews>
  <sheetFormatPr baseColWidth="10" defaultRowHeight="15" x14ac:dyDescent="0.2"/>
  <cols>
    <col min="1" max="19" width="18.83203125" customWidth="1"/>
  </cols>
  <sheetData>
    <row r="1" spans="1:16" s="117" customFormat="1" ht="22" customHeight="1" x14ac:dyDescent="0.2">
      <c r="A1" s="116" t="e" vm="1">
        <v>#VALUE!</v>
      </c>
      <c r="B1" s="116"/>
      <c r="C1" s="116"/>
      <c r="D1" s="116"/>
      <c r="E1" s="116"/>
      <c r="F1" s="116"/>
      <c r="G1" s="116"/>
      <c r="H1" s="116"/>
      <c r="I1" s="116"/>
      <c r="J1" s="116"/>
      <c r="K1" s="116"/>
      <c r="L1" s="116"/>
      <c r="M1" s="116"/>
      <c r="N1" s="116"/>
      <c r="O1" s="116"/>
      <c r="P1" s="116"/>
    </row>
    <row r="2" spans="1:16" s="117" customFormat="1" ht="22" customHeight="1" thickBot="1" x14ac:dyDescent="0.25">
      <c r="A2" s="116"/>
      <c r="B2" s="116"/>
      <c r="C2" s="116"/>
      <c r="D2" s="116"/>
      <c r="E2" s="116"/>
      <c r="F2" s="116"/>
      <c r="G2" s="116"/>
      <c r="H2" s="116"/>
      <c r="I2" s="116"/>
      <c r="J2" s="116"/>
      <c r="K2" s="116"/>
      <c r="L2" s="116"/>
      <c r="M2" s="116"/>
      <c r="N2" s="116"/>
      <c r="O2" s="116"/>
      <c r="P2" s="116"/>
    </row>
    <row r="3" spans="1:16" ht="22" customHeight="1" x14ac:dyDescent="0.2">
      <c r="A3" s="37" cm="1">
        <f t="array" ref="A3">_FV(A1,"Market cap",TRUE)</f>
        <v>6544015125</v>
      </c>
      <c r="B3" s="38" t="s">
        <v>192</v>
      </c>
      <c r="C3" s="39">
        <f>Financials!F8*0.01</f>
        <v>0.88519999999999999</v>
      </c>
      <c r="D3" s="38" t="s">
        <v>193</v>
      </c>
      <c r="E3" s="39">
        <f>SUM(C11:E11)/3</f>
        <v>0.88672600611706187</v>
      </c>
      <c r="F3" s="40" t="s">
        <v>194</v>
      </c>
      <c r="G3" s="41">
        <f>AVERAGE(Financials!B129:F129)</f>
        <v>5.6836331903720061E-2</v>
      </c>
      <c r="H3" s="40" t="s">
        <v>195</v>
      </c>
      <c r="I3" s="42">
        <f>J15*(1+I7)/(I6-I7)</f>
        <v>7684450749.8045864</v>
      </c>
      <c r="J3" s="43" t="s">
        <v>196</v>
      </c>
      <c r="K3" s="44">
        <f>(Financials!F172*-1)/Model!A3</f>
        <v>0</v>
      </c>
      <c r="L3" s="45" t="s">
        <v>197</v>
      </c>
      <c r="M3" s="46"/>
      <c r="N3" s="118" t="s">
        <v>198</v>
      </c>
      <c r="O3" s="119"/>
      <c r="P3" s="46"/>
    </row>
    <row r="4" spans="1:16" ht="22" customHeight="1" x14ac:dyDescent="0.2">
      <c r="A4" s="47">
        <f>Financials!F56-Financials!F96-Financials!F105</f>
        <v>920029000</v>
      </c>
      <c r="B4" s="48" t="s">
        <v>199</v>
      </c>
      <c r="C4" s="49">
        <f>Financials!F17*0.01</f>
        <v>-0.1173</v>
      </c>
      <c r="D4" s="48" t="s">
        <v>200</v>
      </c>
      <c r="E4" s="49">
        <f>SUM(C13:E13)/3</f>
        <v>0.18982037983866648</v>
      </c>
      <c r="F4" s="50" t="s">
        <v>201</v>
      </c>
      <c r="G4" s="51">
        <f>A5*(1+(5*G3))</f>
        <v>61997080.067409232</v>
      </c>
      <c r="H4" s="50" t="s">
        <v>202</v>
      </c>
      <c r="I4" s="52">
        <f>NPV(I6,F15,G15,H15,I15,(J15+I3))</f>
        <v>5811519951.7804317</v>
      </c>
      <c r="J4" s="50" t="s">
        <v>203</v>
      </c>
      <c r="K4" s="53" cm="1">
        <f t="array" ref="K4">_FV(A1,"Change (%)",TRUE)</f>
        <v>-3.8584E-2</v>
      </c>
      <c r="L4" s="54" t="s">
        <v>204</v>
      </c>
      <c r="M4" s="46"/>
      <c r="N4" s="120" t="s">
        <v>205</v>
      </c>
      <c r="O4" s="121"/>
      <c r="P4" s="46"/>
    </row>
    <row r="5" spans="1:16" ht="22" customHeight="1" x14ac:dyDescent="0.2">
      <c r="A5" s="47" cm="1">
        <f t="array" ref="A5">_FV(A1,"Shares outstanding",TRUE)</f>
        <v>48277500</v>
      </c>
      <c r="B5" s="48" t="s">
        <v>206</v>
      </c>
      <c r="C5" s="49">
        <f>F14</f>
        <v>6.7039106145251395E-2</v>
      </c>
      <c r="D5" s="55" t="s">
        <v>207</v>
      </c>
      <c r="E5" s="49">
        <f>SUM(C16:E16)/3</f>
        <v>0.10251338497931228</v>
      </c>
      <c r="F5" s="50" t="s">
        <v>208</v>
      </c>
      <c r="G5" s="51">
        <f>Financials!F56</f>
        <v>989377000</v>
      </c>
      <c r="H5" s="50" t="s">
        <v>209</v>
      </c>
      <c r="I5" s="52">
        <f>I4+G5-G6</f>
        <v>6731548951.7804317</v>
      </c>
      <c r="J5" s="50" t="s">
        <v>210</v>
      </c>
      <c r="K5" s="56" cm="1">
        <f t="array" ref="K5">_FV(A1,"Price")</f>
        <v>135.55000000000001</v>
      </c>
      <c r="L5" s="57" t="s">
        <v>211</v>
      </c>
      <c r="M5" s="46"/>
      <c r="N5" s="58" t="s">
        <v>212</v>
      </c>
      <c r="O5" s="59">
        <f>Financials!F20</f>
        <v>0</v>
      </c>
      <c r="P5" s="46"/>
    </row>
    <row r="6" spans="1:16" ht="22" customHeight="1" x14ac:dyDescent="0.2">
      <c r="A6" s="60">
        <f>O20/F10</f>
        <v>9.13968592877095</v>
      </c>
      <c r="B6" s="48" t="s">
        <v>213</v>
      </c>
      <c r="C6" s="49">
        <f>F17</f>
        <v>0.15363128491620112</v>
      </c>
      <c r="D6" s="55" t="s">
        <v>191</v>
      </c>
      <c r="E6" s="49">
        <f>Financials!F33/Financials!F126</f>
        <v>-6.4082655811528777E-2</v>
      </c>
      <c r="F6" s="48" t="s">
        <v>214</v>
      </c>
      <c r="G6" s="51">
        <f>Financials!F96+Financials!F105</f>
        <v>69348000</v>
      </c>
      <c r="H6" s="50" t="s">
        <v>215</v>
      </c>
      <c r="I6" s="53">
        <f>N25</f>
        <v>9.5828093994075075E-2</v>
      </c>
      <c r="J6" s="50" t="s">
        <v>216</v>
      </c>
      <c r="K6" s="61">
        <f>I5/G4</f>
        <v>108.57848376828778</v>
      </c>
      <c r="L6" s="62" t="s">
        <v>217</v>
      </c>
      <c r="M6" s="46"/>
      <c r="N6" s="58" t="s">
        <v>218</v>
      </c>
      <c r="O6" s="59">
        <f>Financials!F96</f>
        <v>18952000</v>
      </c>
      <c r="P6" s="46"/>
    </row>
    <row r="7" spans="1:16" ht="22" customHeight="1" thickBot="1" x14ac:dyDescent="0.25">
      <c r="A7" s="63">
        <f>O20/F12</f>
        <v>136.33364843749999</v>
      </c>
      <c r="B7" s="64" t="s">
        <v>219</v>
      </c>
      <c r="C7" s="65">
        <f>F15/A3</f>
        <v>1.6809252102698954E-2</v>
      </c>
      <c r="D7" s="64" t="s">
        <v>220</v>
      </c>
      <c r="E7" s="66">
        <f>(Financials!F16*(1-0.25))/(Financials!F126+Financials!F105+Financials!F96)</f>
        <v>-6.949560083176913E-2</v>
      </c>
      <c r="F7" s="64" t="s">
        <v>187</v>
      </c>
      <c r="G7" s="67">
        <f>(Financials!F96+Financials!F105)/Financials!F126</f>
        <v>9.6148940182126733E-2</v>
      </c>
      <c r="H7" s="68" t="s">
        <v>221</v>
      </c>
      <c r="I7" s="69">
        <v>2.5000000000000001E-2</v>
      </c>
      <c r="J7" s="70" t="s">
        <v>222</v>
      </c>
      <c r="K7" s="71">
        <f>K6/K5-1</f>
        <v>-0.19897835656003116</v>
      </c>
      <c r="L7" s="72" t="s">
        <v>223</v>
      </c>
      <c r="M7" s="46"/>
      <c r="N7" s="58" t="s">
        <v>224</v>
      </c>
      <c r="O7" s="59">
        <f>Financials!F105</f>
        <v>50396000</v>
      </c>
      <c r="P7" s="46"/>
    </row>
    <row r="8" spans="1:16" ht="22" customHeight="1" x14ac:dyDescent="0.2">
      <c r="A8" s="73"/>
      <c r="B8" s="46"/>
      <c r="C8" s="46"/>
      <c r="D8" s="46"/>
      <c r="E8" s="46"/>
      <c r="F8" s="46"/>
      <c r="G8" s="46"/>
      <c r="H8" s="46"/>
      <c r="I8" s="46"/>
      <c r="J8" s="74"/>
      <c r="K8" s="74"/>
      <c r="L8" s="74"/>
      <c r="M8" s="46"/>
      <c r="N8" s="75" t="s">
        <v>205</v>
      </c>
      <c r="O8" s="76">
        <f>O5/(O6+O7)</f>
        <v>0</v>
      </c>
      <c r="P8" s="46"/>
    </row>
    <row r="9" spans="1:16" ht="22" customHeight="1" x14ac:dyDescent="0.2">
      <c r="A9" s="77"/>
      <c r="B9" s="78">
        <v>2019</v>
      </c>
      <c r="C9" s="78">
        <v>2020</v>
      </c>
      <c r="D9" s="78">
        <v>2021</v>
      </c>
      <c r="E9" s="79">
        <v>2022</v>
      </c>
      <c r="F9" s="80">
        <v>2023</v>
      </c>
      <c r="G9" s="81">
        <v>2024</v>
      </c>
      <c r="H9" s="81">
        <v>2025</v>
      </c>
      <c r="I9" s="81">
        <v>2026</v>
      </c>
      <c r="J9" s="82">
        <v>2027</v>
      </c>
      <c r="K9" s="74"/>
      <c r="L9" s="74"/>
      <c r="M9" s="74"/>
      <c r="N9" s="58" t="s">
        <v>225</v>
      </c>
      <c r="O9" s="59">
        <f>Financials!F25</f>
        <v>8566000</v>
      </c>
      <c r="P9" s="46"/>
    </row>
    <row r="10" spans="1:16" ht="22" customHeight="1" x14ac:dyDescent="0.2">
      <c r="A10" s="83" t="s">
        <v>226</v>
      </c>
      <c r="B10" s="84">
        <v>78089000</v>
      </c>
      <c r="C10" s="84">
        <v>161123000</v>
      </c>
      <c r="D10" s="84">
        <v>308150000</v>
      </c>
      <c r="E10" s="85">
        <v>519029000</v>
      </c>
      <c r="F10" s="84">
        <v>716000000</v>
      </c>
      <c r="G10" s="84">
        <v>916000000</v>
      </c>
      <c r="H10" s="84">
        <v>1161000000</v>
      </c>
      <c r="I10" s="84">
        <v>1630000000</v>
      </c>
      <c r="J10" s="85">
        <v>2155000000</v>
      </c>
      <c r="K10" s="86" t="s">
        <v>227</v>
      </c>
      <c r="L10" s="74"/>
      <c r="N10" s="58" t="s">
        <v>228</v>
      </c>
      <c r="O10" s="59">
        <f>Financials!F24</f>
        <v>-37654000</v>
      </c>
      <c r="P10" s="46"/>
    </row>
    <row r="11" spans="1:16" ht="22" customHeight="1" x14ac:dyDescent="0.2">
      <c r="A11" s="87"/>
      <c r="B11" s="88"/>
      <c r="C11" s="88">
        <f t="shared" ref="C11:J11" si="0">(C10/B10)-1</f>
        <v>1.0633251802430559</v>
      </c>
      <c r="D11" s="88">
        <f t="shared" si="0"/>
        <v>0.91251404206724063</v>
      </c>
      <c r="E11" s="88">
        <f t="shared" si="0"/>
        <v>0.6843387960408891</v>
      </c>
      <c r="F11" s="89">
        <f t="shared" si="0"/>
        <v>0.37949902606598096</v>
      </c>
      <c r="G11" s="88">
        <f t="shared" si="0"/>
        <v>0.27932960893854752</v>
      </c>
      <c r="H11" s="88">
        <f t="shared" si="0"/>
        <v>0.26746724890829698</v>
      </c>
      <c r="I11" s="88">
        <f t="shared" si="0"/>
        <v>0.40396210163652024</v>
      </c>
      <c r="J11" s="90">
        <f t="shared" si="0"/>
        <v>0.32208588957055206</v>
      </c>
      <c r="K11" s="90">
        <f>SUM(F11:J11)/5</f>
        <v>0.33046877502397953</v>
      </c>
      <c r="L11" s="74"/>
      <c r="M11" s="74"/>
      <c r="N11" s="58" t="s">
        <v>229</v>
      </c>
      <c r="O11" s="91">
        <f>O9/O10</f>
        <v>-0.22749243108301906</v>
      </c>
      <c r="P11" s="46"/>
    </row>
    <row r="12" spans="1:16" ht="22" customHeight="1" x14ac:dyDescent="0.2">
      <c r="A12" s="83" t="s">
        <v>133</v>
      </c>
      <c r="B12" s="84">
        <v>-91611000</v>
      </c>
      <c r="C12" s="84">
        <v>-152203000</v>
      </c>
      <c r="D12" s="84">
        <v>-129294000</v>
      </c>
      <c r="E12" s="84">
        <v>-136867000</v>
      </c>
      <c r="F12" s="92">
        <v>48000000</v>
      </c>
      <c r="G12" s="84">
        <v>68000000</v>
      </c>
      <c r="H12" s="84">
        <v>130000000</v>
      </c>
      <c r="I12" s="84">
        <v>350000000</v>
      </c>
      <c r="J12" s="85">
        <v>610000000</v>
      </c>
      <c r="K12" s="93" t="s">
        <v>230</v>
      </c>
      <c r="L12" s="74"/>
      <c r="M12" s="74"/>
      <c r="N12" s="58" t="s">
        <v>231</v>
      </c>
      <c r="O12" s="91">
        <f>O8*(1-O11)</f>
        <v>0</v>
      </c>
      <c r="P12" s="46"/>
    </row>
    <row r="13" spans="1:16" ht="22" customHeight="1" x14ac:dyDescent="0.2">
      <c r="A13" s="87"/>
      <c r="B13" s="88"/>
      <c r="C13" s="88">
        <f t="shared" ref="C13:J13" si="1">(C12/B12)-1</f>
        <v>0.66140528975778023</v>
      </c>
      <c r="D13" s="88">
        <f t="shared" si="1"/>
        <v>-0.15051608706792896</v>
      </c>
      <c r="E13" s="88">
        <f t="shared" si="1"/>
        <v>5.8571936826148141E-2</v>
      </c>
      <c r="F13" s="89">
        <f t="shared" si="1"/>
        <v>-1.3507054293584282</v>
      </c>
      <c r="G13" s="88">
        <f t="shared" si="1"/>
        <v>0.41666666666666674</v>
      </c>
      <c r="H13" s="88">
        <f t="shared" si="1"/>
        <v>0.91176470588235303</v>
      </c>
      <c r="I13" s="88">
        <f t="shared" si="1"/>
        <v>1.6923076923076925</v>
      </c>
      <c r="J13" s="90">
        <f t="shared" si="1"/>
        <v>0.74285714285714288</v>
      </c>
      <c r="K13" s="90">
        <f>AVERAGE(G13:J13)</f>
        <v>0.94089905192846379</v>
      </c>
      <c r="L13" s="74"/>
      <c r="M13" s="74"/>
      <c r="N13" s="120" t="s">
        <v>232</v>
      </c>
      <c r="O13" s="121"/>
      <c r="P13" s="46"/>
    </row>
    <row r="14" spans="1:16" ht="22" customHeight="1" x14ac:dyDescent="0.2">
      <c r="A14" s="94" t="s">
        <v>233</v>
      </c>
      <c r="B14" s="95">
        <f>B12/B10</f>
        <v>-1.1731613927697884</v>
      </c>
      <c r="C14" s="95">
        <f t="shared" ref="C14:J14" si="2">C12/C10</f>
        <v>-0.94463856805049562</v>
      </c>
      <c r="D14" s="95">
        <f t="shared" si="2"/>
        <v>-0.4195813727080967</v>
      </c>
      <c r="E14" s="95">
        <f t="shared" si="2"/>
        <v>-0.26369817486113495</v>
      </c>
      <c r="F14" s="96">
        <f t="shared" si="2"/>
        <v>6.7039106145251395E-2</v>
      </c>
      <c r="G14" s="95">
        <f t="shared" si="2"/>
        <v>7.4235807860262015E-2</v>
      </c>
      <c r="H14" s="95">
        <f t="shared" si="2"/>
        <v>0.1119724375538329</v>
      </c>
      <c r="I14" s="95">
        <f t="shared" si="2"/>
        <v>0.21472392638036811</v>
      </c>
      <c r="J14" s="97">
        <f t="shared" si="2"/>
        <v>0.28306264501160094</v>
      </c>
      <c r="K14" s="97"/>
      <c r="L14" s="74"/>
      <c r="M14" s="74"/>
      <c r="N14" s="58" t="s">
        <v>234</v>
      </c>
      <c r="O14" s="91">
        <f>'[1]US Treasury Bonds'!$C$8</f>
        <v>4.5080000000000002E-2</v>
      </c>
      <c r="P14" s="46"/>
    </row>
    <row r="15" spans="1:16" ht="22" customHeight="1" x14ac:dyDescent="0.2">
      <c r="A15" s="83" t="s">
        <v>176</v>
      </c>
      <c r="B15" s="84">
        <v>-38052000</v>
      </c>
      <c r="C15" s="84">
        <v>-41537000</v>
      </c>
      <c r="D15" s="84">
        <v>4777000</v>
      </c>
      <c r="E15" s="84">
        <v>11135000</v>
      </c>
      <c r="F15" s="92">
        <v>110000000</v>
      </c>
      <c r="G15" s="84">
        <v>127000000</v>
      </c>
      <c r="H15" s="84">
        <v>188000000</v>
      </c>
      <c r="I15" s="84">
        <v>380000000</v>
      </c>
      <c r="J15" s="85">
        <v>531000000</v>
      </c>
      <c r="K15" s="93" t="s">
        <v>235</v>
      </c>
      <c r="L15" s="74"/>
      <c r="M15" s="74"/>
      <c r="N15" s="58" t="s">
        <v>236</v>
      </c>
      <c r="O15" s="98">
        <f>1.33</f>
        <v>1.33</v>
      </c>
      <c r="P15" s="46"/>
    </row>
    <row r="16" spans="1:16" ht="22" customHeight="1" x14ac:dyDescent="0.2">
      <c r="A16" s="99"/>
      <c r="B16" s="88"/>
      <c r="C16" s="88">
        <f t="shared" ref="C16:J16" si="3">(C15/B15)-1</f>
        <v>9.1585199201093204E-2</v>
      </c>
      <c r="D16" s="88">
        <f t="shared" si="3"/>
        <v>-1.115005898355683</v>
      </c>
      <c r="E16" s="88">
        <f t="shared" si="3"/>
        <v>1.3309608540925266</v>
      </c>
      <c r="F16" s="89">
        <f t="shared" si="3"/>
        <v>8.8787606645711712</v>
      </c>
      <c r="G16" s="88">
        <f t="shared" si="3"/>
        <v>0.15454545454545454</v>
      </c>
      <c r="H16" s="88">
        <f t="shared" si="3"/>
        <v>0.48031496062992129</v>
      </c>
      <c r="I16" s="88">
        <f t="shared" si="3"/>
        <v>1.021276595744681</v>
      </c>
      <c r="J16" s="90">
        <f t="shared" si="3"/>
        <v>0.39736842105263159</v>
      </c>
      <c r="K16" s="90">
        <f>AVERAGE(G16:J16)</f>
        <v>0.51337635799317205</v>
      </c>
      <c r="L16" s="74"/>
      <c r="M16" s="74"/>
      <c r="N16" s="58" t="s">
        <v>237</v>
      </c>
      <c r="O16" s="91">
        <v>8.4000000000000005E-2</v>
      </c>
      <c r="P16" s="46"/>
    </row>
    <row r="17" spans="1:16" ht="22" customHeight="1" x14ac:dyDescent="0.2">
      <c r="A17" s="94" t="s">
        <v>191</v>
      </c>
      <c r="B17" s="95">
        <f>B15/B10</f>
        <v>-0.48729014329803172</v>
      </c>
      <c r="C17" s="95">
        <f t="shared" ref="C17:J17" si="4">C15/C10</f>
        <v>-0.25779683844019785</v>
      </c>
      <c r="D17" s="95">
        <f t="shared" si="4"/>
        <v>1.550219049164368E-2</v>
      </c>
      <c r="E17" s="97">
        <f t="shared" si="4"/>
        <v>2.1453521864866897E-2</v>
      </c>
      <c r="F17" s="95">
        <f t="shared" si="4"/>
        <v>0.15363128491620112</v>
      </c>
      <c r="G17" s="95">
        <f t="shared" si="4"/>
        <v>0.13864628820960698</v>
      </c>
      <c r="H17" s="95">
        <f t="shared" si="4"/>
        <v>0.16192937123169682</v>
      </c>
      <c r="I17" s="95">
        <f t="shared" si="4"/>
        <v>0.23312883435582821</v>
      </c>
      <c r="J17" s="97">
        <f t="shared" si="4"/>
        <v>0.24640371229698377</v>
      </c>
      <c r="K17" s="97"/>
      <c r="L17" s="74"/>
      <c r="M17" s="74"/>
      <c r="N17" s="100" t="s">
        <v>232</v>
      </c>
      <c r="O17" s="101">
        <f>(O14)+((O15)*(O16-O14))</f>
        <v>9.6843600000000002E-2</v>
      </c>
      <c r="P17" s="46"/>
    </row>
    <row r="18" spans="1:16" ht="22" customHeight="1" x14ac:dyDescent="0.2">
      <c r="A18" s="102" t="s">
        <v>187</v>
      </c>
      <c r="B18" s="103">
        <v>0.59050524649595348</v>
      </c>
      <c r="C18" s="103">
        <v>0.57470616381526374</v>
      </c>
      <c r="D18" s="103">
        <v>-0.13446563436861655</v>
      </c>
      <c r="E18" s="103">
        <v>-0.15051765041368467</v>
      </c>
      <c r="F18" s="104"/>
      <c r="G18" s="103"/>
      <c r="H18" s="103"/>
      <c r="I18" s="103"/>
      <c r="J18" s="105"/>
      <c r="K18" s="106"/>
      <c r="L18" s="74"/>
      <c r="M18" s="74"/>
      <c r="N18" s="120" t="s">
        <v>238</v>
      </c>
      <c r="O18" s="121"/>
      <c r="P18" s="46"/>
    </row>
    <row r="19" spans="1:16" ht="22" customHeight="1" x14ac:dyDescent="0.2">
      <c r="A19" s="74"/>
      <c r="B19" s="74"/>
      <c r="C19" s="74"/>
      <c r="D19" s="74"/>
      <c r="E19" s="74"/>
      <c r="F19" s="74" t="s">
        <v>239</v>
      </c>
      <c r="G19" s="74"/>
      <c r="H19" s="74"/>
      <c r="I19" s="74"/>
      <c r="J19" s="74"/>
      <c r="K19" s="74"/>
      <c r="L19" s="74"/>
      <c r="M19" s="74"/>
      <c r="N19" s="58" t="s">
        <v>215</v>
      </c>
      <c r="O19" s="107">
        <f>O6+O7</f>
        <v>69348000</v>
      </c>
      <c r="P19" s="46"/>
    </row>
    <row r="20" spans="1:16" ht="22" customHeight="1" x14ac:dyDescent="0.2">
      <c r="B20" s="108"/>
      <c r="C20" s="108"/>
      <c r="D20" s="108"/>
      <c r="E20" s="108"/>
      <c r="F20" s="74"/>
      <c r="G20" s="74"/>
      <c r="H20" s="74"/>
      <c r="I20" s="74"/>
      <c r="J20" s="74"/>
      <c r="K20" s="74"/>
      <c r="L20" s="74"/>
      <c r="M20" s="74"/>
      <c r="N20" s="58" t="s">
        <v>192</v>
      </c>
      <c r="O20" s="107">
        <f>A3</f>
        <v>6544015125</v>
      </c>
      <c r="P20" s="46"/>
    </row>
    <row r="21" spans="1:16" ht="22" customHeight="1" x14ac:dyDescent="0.2">
      <c r="A21" s="111" t="str" cm="1">
        <f t="array" ref="A21">_FV(A1,"Industry")</f>
        <v>Software &amp; IT Services</v>
      </c>
      <c r="B21" s="111"/>
      <c r="C21" s="122" cm="1">
        <f t="array" ref="C21">_FV(A1,"Year incorporated",TRUE)</f>
        <v>2012</v>
      </c>
      <c r="D21" s="122"/>
      <c r="E21" s="122"/>
      <c r="F21" s="74"/>
      <c r="G21" s="74"/>
      <c r="H21" s="74"/>
      <c r="I21" s="74"/>
      <c r="J21" s="74"/>
      <c r="K21" s="74"/>
      <c r="M21" s="74"/>
      <c r="N21" s="58" t="s">
        <v>240</v>
      </c>
      <c r="O21" s="107">
        <f>O19+O20</f>
        <v>6613363125</v>
      </c>
      <c r="P21" s="46"/>
    </row>
    <row r="22" spans="1:16" ht="22" customHeight="1" x14ac:dyDescent="0.2">
      <c r="A22" s="111" t="str" cm="1">
        <f t="array" ref="A22">_FV(A1,"Description")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B22" s="111"/>
      <c r="C22" s="111"/>
      <c r="D22" s="111"/>
      <c r="E22" s="111"/>
      <c r="F22" s="74"/>
      <c r="G22" s="74"/>
      <c r="H22" s="74"/>
      <c r="I22" s="74"/>
      <c r="J22" s="74"/>
      <c r="K22" s="74"/>
      <c r="L22" s="74"/>
      <c r="M22" s="74"/>
      <c r="N22" s="75" t="s">
        <v>241</v>
      </c>
      <c r="O22" s="109">
        <f>(O19/O21)</f>
        <v>1.0486041472280414E-2</v>
      </c>
      <c r="P22" s="46"/>
    </row>
    <row r="23" spans="1:16" ht="22" customHeight="1" x14ac:dyDescent="0.2">
      <c r="A23" s="111"/>
      <c r="B23" s="111"/>
      <c r="C23" s="111"/>
      <c r="D23" s="111"/>
      <c r="E23" s="111"/>
      <c r="F23" s="74"/>
      <c r="G23" s="74"/>
      <c r="H23" s="74"/>
      <c r="I23" s="74"/>
      <c r="J23" s="74"/>
      <c r="K23" s="74"/>
      <c r="L23" s="74"/>
      <c r="M23" s="74"/>
      <c r="N23" s="100" t="s">
        <v>242</v>
      </c>
      <c r="O23" s="110">
        <f>O20/O21</f>
        <v>0.98951395852771962</v>
      </c>
      <c r="P23" s="46"/>
    </row>
    <row r="24" spans="1:16" ht="22" customHeight="1" x14ac:dyDescent="0.2">
      <c r="A24" s="111"/>
      <c r="B24" s="111"/>
      <c r="C24" s="111"/>
      <c r="D24" s="111"/>
      <c r="E24" s="111"/>
      <c r="F24" s="74"/>
      <c r="G24" s="74"/>
      <c r="H24" s="74"/>
      <c r="I24" s="74"/>
      <c r="J24" s="74"/>
      <c r="K24" s="74"/>
      <c r="L24" s="74"/>
      <c r="M24" s="74"/>
      <c r="N24" s="112" t="s">
        <v>243</v>
      </c>
      <c r="O24" s="113"/>
      <c r="P24" s="46"/>
    </row>
    <row r="25" spans="1:16" ht="22" customHeight="1" x14ac:dyDescent="0.2">
      <c r="A25" s="111"/>
      <c r="B25" s="111"/>
      <c r="C25" s="111"/>
      <c r="D25" s="111"/>
      <c r="E25" s="111"/>
      <c r="F25" s="74"/>
      <c r="G25" s="74"/>
      <c r="H25" s="74"/>
      <c r="I25" s="74"/>
      <c r="J25" s="74"/>
      <c r="K25" s="74"/>
      <c r="L25" s="74"/>
      <c r="M25" s="74"/>
      <c r="N25" s="114">
        <f>(O22*O12)+(O23*O17)</f>
        <v>9.5828093994075075E-2</v>
      </c>
      <c r="O25" s="115"/>
      <c r="P25" s="46"/>
    </row>
    <row r="26" spans="1:16" ht="22" customHeight="1" x14ac:dyDescent="0.2">
      <c r="A26" s="111"/>
      <c r="B26" s="111"/>
      <c r="C26" s="111"/>
      <c r="D26" s="111"/>
      <c r="E26" s="111"/>
      <c r="F26" s="74"/>
      <c r="G26" s="74"/>
      <c r="H26" s="74"/>
      <c r="I26" s="74"/>
      <c r="J26" s="74"/>
      <c r="K26" s="74"/>
      <c r="L26" s="74"/>
      <c r="M26" s="74"/>
      <c r="N26" s="74"/>
      <c r="O26" s="46"/>
      <c r="P26" s="46"/>
    </row>
    <row r="27" spans="1:16" ht="22" customHeight="1" x14ac:dyDescent="0.2">
      <c r="A27" s="111"/>
      <c r="B27" s="111"/>
      <c r="C27" s="111"/>
      <c r="D27" s="111"/>
      <c r="E27" s="111"/>
      <c r="F27" s="74"/>
      <c r="G27" s="74"/>
      <c r="H27" s="74"/>
      <c r="I27" s="74"/>
      <c r="J27" s="74"/>
      <c r="K27" s="74"/>
      <c r="L27" s="74"/>
      <c r="M27" s="74"/>
      <c r="N27" s="74"/>
      <c r="O27" s="46"/>
      <c r="P27" s="46"/>
    </row>
    <row r="28" spans="1:16" ht="22" customHeight="1" x14ac:dyDescent="0.2">
      <c r="A28" s="111"/>
      <c r="B28" s="111"/>
      <c r="C28" s="111"/>
      <c r="D28" s="111"/>
      <c r="E28" s="111"/>
      <c r="F28" s="74"/>
      <c r="G28" s="74"/>
      <c r="H28" s="74"/>
      <c r="I28" s="74"/>
      <c r="J28" s="74"/>
      <c r="K28" s="74"/>
      <c r="L28" s="74"/>
      <c r="M28" s="74"/>
      <c r="N28" s="74"/>
      <c r="O28" s="46"/>
      <c r="P28" s="46"/>
    </row>
    <row r="29" spans="1:16" ht="22" customHeight="1" x14ac:dyDescent="0.2">
      <c r="A29" s="111"/>
      <c r="B29" s="111"/>
      <c r="C29" s="111"/>
      <c r="D29" s="111"/>
      <c r="E29" s="111"/>
      <c r="F29" s="74"/>
      <c r="G29" s="74"/>
      <c r="H29" s="74"/>
      <c r="I29" s="74"/>
      <c r="J29" s="74"/>
      <c r="K29" s="74"/>
      <c r="L29" s="74"/>
      <c r="M29" s="74"/>
      <c r="N29" s="74"/>
      <c r="O29" s="46"/>
      <c r="P29" s="46"/>
    </row>
    <row r="30" spans="1:16" ht="22" customHeight="1" x14ac:dyDescent="0.2">
      <c r="A30" s="111"/>
      <c r="B30" s="111"/>
      <c r="C30" s="111"/>
      <c r="D30" s="111"/>
      <c r="E30" s="111"/>
      <c r="F30" s="74"/>
      <c r="G30" s="74"/>
      <c r="H30" s="74"/>
      <c r="I30" s="74"/>
      <c r="J30" s="74"/>
      <c r="K30" s="74"/>
      <c r="L30" s="74"/>
      <c r="M30" s="74"/>
      <c r="N30" s="74"/>
      <c r="O30" s="46"/>
      <c r="P30" s="46"/>
    </row>
    <row r="31" spans="1:16" ht="22" customHeight="1" x14ac:dyDescent="0.2">
      <c r="A31" s="46"/>
      <c r="B31" s="46"/>
      <c r="C31" s="46"/>
      <c r="D31" s="46"/>
      <c r="E31" s="46"/>
      <c r="F31" s="46"/>
      <c r="G31" s="46"/>
      <c r="H31" s="46"/>
      <c r="I31" s="46"/>
      <c r="J31" s="46"/>
      <c r="K31" s="46"/>
      <c r="L31" s="46"/>
      <c r="M31" s="46"/>
      <c r="N31" s="46"/>
      <c r="O31" s="46"/>
      <c r="P31" s="46"/>
    </row>
    <row r="32" spans="1:16" ht="22" customHeight="1" x14ac:dyDescent="0.2">
      <c r="A32" s="46"/>
      <c r="B32" s="46"/>
      <c r="C32" s="46"/>
      <c r="D32" s="46"/>
      <c r="E32" s="46"/>
      <c r="F32" s="46"/>
      <c r="G32" s="46"/>
      <c r="H32" s="46"/>
      <c r="I32" s="46"/>
      <c r="J32" s="46"/>
      <c r="K32" s="46"/>
      <c r="L32" s="46"/>
      <c r="M32" s="46"/>
      <c r="N32" s="46"/>
      <c r="O32" s="46"/>
      <c r="P32" s="46"/>
    </row>
    <row r="33" spans="1:16" ht="22" customHeight="1" x14ac:dyDescent="0.2">
      <c r="A33" s="74"/>
      <c r="B33" s="74"/>
      <c r="C33" s="74"/>
      <c r="D33" s="74"/>
      <c r="E33" s="74"/>
      <c r="F33" s="74"/>
      <c r="G33" s="74"/>
      <c r="H33" s="74"/>
      <c r="I33" s="74"/>
      <c r="J33" s="74"/>
      <c r="K33" s="74"/>
      <c r="L33" s="74"/>
      <c r="M33" s="74"/>
      <c r="N33" s="74"/>
      <c r="O33" s="74"/>
      <c r="P33" s="74"/>
    </row>
    <row r="34" spans="1:16" ht="22" customHeight="1" x14ac:dyDescent="0.2">
      <c r="A34" s="74"/>
      <c r="B34" s="74"/>
      <c r="C34" s="74"/>
      <c r="D34" s="74"/>
      <c r="E34" s="74"/>
      <c r="F34" s="74"/>
      <c r="G34" s="74"/>
      <c r="H34" s="74"/>
      <c r="I34" s="74"/>
      <c r="J34" s="74"/>
      <c r="K34" s="74"/>
      <c r="L34" s="74"/>
      <c r="M34" s="74"/>
      <c r="N34" s="74"/>
      <c r="O34" s="74"/>
      <c r="P34" s="74"/>
    </row>
    <row r="35" spans="1:16" ht="22" customHeight="1" x14ac:dyDescent="0.2">
      <c r="A35" s="74"/>
      <c r="B35" s="74"/>
      <c r="C35" s="74"/>
      <c r="D35" s="74"/>
      <c r="E35" s="74"/>
      <c r="F35" s="74"/>
      <c r="G35" s="74"/>
      <c r="H35" s="74"/>
      <c r="I35" s="74"/>
      <c r="J35" s="74"/>
      <c r="K35" s="74"/>
      <c r="L35" s="74"/>
      <c r="M35" s="74"/>
      <c r="N35" s="74"/>
      <c r="O35" s="74"/>
      <c r="P35" s="74"/>
    </row>
    <row r="36" spans="1:16" ht="22" customHeight="1" x14ac:dyDescent="0.2">
      <c r="A36" s="74"/>
      <c r="B36" s="74"/>
      <c r="C36" s="74"/>
      <c r="D36" s="74"/>
      <c r="E36" s="74"/>
      <c r="F36" s="74"/>
      <c r="G36" s="74"/>
      <c r="H36" s="74"/>
      <c r="I36" s="74"/>
      <c r="J36" s="74"/>
      <c r="K36" s="74"/>
      <c r="L36" s="74"/>
      <c r="M36" s="74"/>
      <c r="N36" s="74"/>
      <c r="O36" s="74"/>
      <c r="P36" s="74"/>
    </row>
    <row r="37" spans="1:16" ht="22" customHeight="1" x14ac:dyDescent="0.2">
      <c r="A37" s="74"/>
      <c r="B37" s="74"/>
      <c r="C37" s="74"/>
      <c r="D37" s="74"/>
      <c r="E37" s="74"/>
      <c r="F37" s="74"/>
      <c r="G37" s="74"/>
      <c r="H37" s="74"/>
      <c r="I37" s="74"/>
      <c r="J37" s="74"/>
      <c r="K37" s="74"/>
      <c r="L37" s="74"/>
      <c r="M37" s="74"/>
      <c r="N37" s="74"/>
      <c r="O37" s="74"/>
      <c r="P37" s="74"/>
    </row>
    <row r="38" spans="1:16" ht="22" customHeight="1" x14ac:dyDescent="0.2">
      <c r="A38" s="74"/>
      <c r="B38" s="74"/>
      <c r="C38" s="74"/>
      <c r="D38" s="74"/>
      <c r="E38" s="74"/>
      <c r="F38" s="74"/>
      <c r="G38" s="74"/>
      <c r="H38" s="74"/>
      <c r="I38" s="74"/>
      <c r="J38" s="74"/>
      <c r="K38" s="74"/>
      <c r="L38" s="74"/>
      <c r="M38" s="74"/>
      <c r="N38" s="74"/>
      <c r="O38" s="74"/>
      <c r="P38" s="74"/>
    </row>
    <row r="39" spans="1:16" ht="22" customHeight="1" x14ac:dyDescent="0.2">
      <c r="A39" s="74"/>
      <c r="B39" s="74"/>
      <c r="C39" s="74"/>
      <c r="D39" s="74"/>
      <c r="E39" s="74"/>
      <c r="F39" s="74"/>
      <c r="G39" s="74"/>
      <c r="H39" s="74"/>
      <c r="I39" s="74"/>
      <c r="J39" s="74"/>
      <c r="K39" s="74"/>
      <c r="L39" s="74"/>
      <c r="M39" s="74"/>
      <c r="N39" s="74"/>
      <c r="O39" s="74"/>
      <c r="P39" s="74"/>
    </row>
    <row r="40" spans="1:16" ht="22" customHeight="1" x14ac:dyDescent="0.2">
      <c r="A40" s="74"/>
      <c r="B40" s="74"/>
      <c r="C40" s="74"/>
      <c r="D40" s="74"/>
      <c r="E40" s="74"/>
      <c r="F40" s="74"/>
      <c r="G40" s="74"/>
      <c r="H40" s="74"/>
      <c r="I40" s="74"/>
      <c r="J40" s="74"/>
      <c r="K40" s="74"/>
      <c r="L40" s="74"/>
      <c r="M40" s="74"/>
      <c r="N40" s="74"/>
      <c r="O40" s="74"/>
      <c r="P40" s="74"/>
    </row>
    <row r="41" spans="1:16" x14ac:dyDescent="0.2">
      <c r="A41" s="74"/>
      <c r="B41" s="74"/>
      <c r="C41" s="74"/>
      <c r="D41" s="74"/>
      <c r="E41" s="74"/>
      <c r="F41" s="74"/>
      <c r="G41" s="74"/>
      <c r="H41" s="74"/>
      <c r="I41" s="74"/>
      <c r="J41" s="74"/>
      <c r="K41" s="74"/>
      <c r="L41" s="74"/>
      <c r="M41" s="74"/>
      <c r="N41" s="74"/>
      <c r="O41" s="74"/>
      <c r="P41" s="74"/>
    </row>
    <row r="42" spans="1:16" x14ac:dyDescent="0.2">
      <c r="A42" s="74"/>
      <c r="B42" s="74"/>
      <c r="C42" s="74"/>
      <c r="D42" s="74"/>
      <c r="E42" s="74"/>
      <c r="F42" s="74"/>
      <c r="G42" s="74"/>
      <c r="H42" s="74"/>
      <c r="I42" s="74"/>
      <c r="J42" s="74"/>
      <c r="K42" s="74"/>
      <c r="L42" s="74"/>
      <c r="M42" s="74"/>
      <c r="N42" s="74"/>
      <c r="O42" s="74"/>
      <c r="P42" s="74"/>
    </row>
    <row r="43" spans="1:16" x14ac:dyDescent="0.2">
      <c r="A43" s="74"/>
      <c r="B43" s="74"/>
      <c r="C43" s="74"/>
      <c r="D43" s="74"/>
      <c r="E43" s="74"/>
      <c r="F43" s="74"/>
      <c r="G43" s="74"/>
      <c r="H43" s="74"/>
      <c r="I43" s="74"/>
      <c r="J43" s="74"/>
      <c r="K43" s="74"/>
      <c r="L43" s="74"/>
      <c r="M43" s="74"/>
      <c r="N43" s="74"/>
      <c r="O43" s="74"/>
      <c r="P43" s="74"/>
    </row>
    <row r="44" spans="1:16" x14ac:dyDescent="0.2">
      <c r="A44" s="74"/>
      <c r="B44" s="74"/>
      <c r="C44" s="74"/>
      <c r="D44" s="74"/>
      <c r="E44" s="74"/>
      <c r="F44" s="74"/>
      <c r="G44" s="74"/>
      <c r="H44" s="74"/>
      <c r="I44" s="74"/>
      <c r="J44" s="74"/>
      <c r="K44" s="74"/>
      <c r="L44" s="74"/>
      <c r="M44" s="74"/>
      <c r="N44" s="74"/>
      <c r="O44" s="74"/>
      <c r="P44" s="74"/>
    </row>
    <row r="45" spans="1:16" x14ac:dyDescent="0.2">
      <c r="A45" s="74"/>
      <c r="B45" s="74"/>
      <c r="C45" s="74"/>
      <c r="D45" s="74"/>
      <c r="E45" s="74"/>
      <c r="F45" s="74"/>
      <c r="G45" s="74"/>
      <c r="H45" s="74"/>
      <c r="I45" s="74"/>
      <c r="J45" s="74"/>
      <c r="K45" s="74"/>
      <c r="L45" s="74"/>
      <c r="M45" s="74"/>
      <c r="N45" s="74"/>
      <c r="O45" s="74"/>
      <c r="P45" s="74"/>
    </row>
    <row r="46" spans="1:16" x14ac:dyDescent="0.2">
      <c r="A46" s="74"/>
      <c r="B46" s="74"/>
      <c r="C46" s="74"/>
      <c r="D46" s="74"/>
      <c r="E46" s="74"/>
      <c r="F46" s="74"/>
      <c r="G46" s="74"/>
      <c r="H46" s="74"/>
      <c r="I46" s="74"/>
      <c r="J46" s="74"/>
      <c r="K46" s="74"/>
      <c r="L46" s="74"/>
      <c r="M46" s="74"/>
      <c r="N46" s="74"/>
      <c r="O46" s="74"/>
      <c r="P46" s="74"/>
    </row>
    <row r="47" spans="1:16" x14ac:dyDescent="0.2">
      <c r="A47" s="74"/>
      <c r="B47" s="74"/>
      <c r="C47" s="74"/>
      <c r="D47" s="74"/>
      <c r="E47" s="74"/>
      <c r="F47" s="74"/>
      <c r="G47" s="74"/>
      <c r="H47" s="74"/>
      <c r="I47" s="74"/>
      <c r="J47" s="74"/>
      <c r="K47" s="74"/>
      <c r="L47" s="74"/>
      <c r="M47" s="74"/>
      <c r="N47" s="74"/>
      <c r="O47" s="74"/>
      <c r="P47" s="74"/>
    </row>
    <row r="48" spans="1:16" x14ac:dyDescent="0.2">
      <c r="A48" s="74"/>
      <c r="B48" s="74"/>
      <c r="C48" s="74"/>
      <c r="D48" s="74"/>
      <c r="E48" s="74"/>
      <c r="F48" s="74"/>
      <c r="G48" s="74"/>
      <c r="H48" s="74"/>
      <c r="I48" s="74"/>
      <c r="J48" s="74"/>
      <c r="K48" s="74"/>
      <c r="L48" s="74"/>
      <c r="M48" s="74"/>
      <c r="N48" s="74"/>
      <c r="O48" s="74"/>
      <c r="P48" s="74"/>
    </row>
    <row r="49" spans="1:16" x14ac:dyDescent="0.2">
      <c r="A49" s="74"/>
      <c r="B49" s="74"/>
      <c r="C49" s="74"/>
      <c r="D49" s="74"/>
      <c r="E49" s="74"/>
      <c r="F49" s="74"/>
      <c r="G49" s="74"/>
      <c r="H49" s="74"/>
      <c r="I49" s="74"/>
      <c r="J49" s="74"/>
      <c r="K49" s="74"/>
      <c r="L49" s="74"/>
      <c r="M49" s="74"/>
      <c r="N49" s="74"/>
      <c r="O49" s="74"/>
      <c r="P49" s="74"/>
    </row>
    <row r="50" spans="1:16" x14ac:dyDescent="0.2">
      <c r="A50" s="74"/>
      <c r="B50" s="74"/>
      <c r="C50" s="74"/>
      <c r="D50" s="74"/>
      <c r="E50" s="74"/>
      <c r="F50" s="74"/>
      <c r="G50" s="74"/>
      <c r="H50" s="74"/>
      <c r="I50" s="74"/>
      <c r="J50" s="74"/>
      <c r="K50" s="74"/>
      <c r="L50" s="74"/>
      <c r="M50" s="74"/>
      <c r="N50" s="74"/>
      <c r="O50" s="74"/>
      <c r="P50" s="74"/>
    </row>
    <row r="51" spans="1:16" x14ac:dyDescent="0.2">
      <c r="A51" s="74"/>
      <c r="B51" s="74"/>
      <c r="C51" s="74"/>
      <c r="D51" s="74"/>
      <c r="E51" s="74"/>
      <c r="F51" s="74"/>
      <c r="G51" s="74"/>
      <c r="H51" s="74"/>
      <c r="I51" s="74"/>
      <c r="J51" s="74"/>
      <c r="K51" s="74"/>
      <c r="L51" s="74"/>
      <c r="M51" s="74"/>
      <c r="N51" s="74"/>
      <c r="O51" s="74"/>
      <c r="P51" s="74"/>
    </row>
    <row r="52" spans="1:16" x14ac:dyDescent="0.2">
      <c r="A52" s="74"/>
      <c r="B52" s="74"/>
      <c r="C52" s="74"/>
      <c r="D52" s="74"/>
      <c r="E52" s="74"/>
      <c r="F52" s="74"/>
      <c r="G52" s="74"/>
      <c r="H52" s="74"/>
      <c r="I52" s="74"/>
      <c r="J52" s="74"/>
      <c r="K52" s="74"/>
      <c r="L52" s="74"/>
      <c r="M52" s="74"/>
      <c r="N52" s="74"/>
      <c r="O52" s="74"/>
      <c r="P52" s="74"/>
    </row>
    <row r="53" spans="1:16" x14ac:dyDescent="0.2">
      <c r="A53" s="74"/>
      <c r="B53" s="74"/>
      <c r="C53" s="74"/>
      <c r="D53" s="74"/>
      <c r="E53" s="74"/>
      <c r="F53" s="74"/>
      <c r="G53" s="74"/>
      <c r="H53" s="74"/>
      <c r="I53" s="74"/>
      <c r="J53" s="74"/>
      <c r="K53" s="74"/>
      <c r="L53" s="74"/>
      <c r="M53" s="74"/>
      <c r="N53" s="74"/>
      <c r="O53" s="74"/>
      <c r="P53" s="74"/>
    </row>
    <row r="54" spans="1:16" x14ac:dyDescent="0.2">
      <c r="A54" s="74"/>
      <c r="B54" s="74"/>
      <c r="C54" s="74"/>
      <c r="D54" s="74"/>
      <c r="E54" s="74"/>
      <c r="F54" s="74"/>
      <c r="G54" s="74"/>
      <c r="H54" s="74"/>
      <c r="I54" s="74"/>
      <c r="J54" s="74"/>
      <c r="K54" s="74"/>
      <c r="L54" s="74"/>
      <c r="M54" s="74"/>
      <c r="N54" s="74"/>
      <c r="O54" s="74"/>
      <c r="P54" s="74"/>
    </row>
    <row r="55" spans="1:16" x14ac:dyDescent="0.2">
      <c r="A55" s="74"/>
      <c r="B55" s="74"/>
      <c r="C55" s="74"/>
      <c r="D55" s="74"/>
      <c r="E55" s="74"/>
      <c r="F55" s="74"/>
      <c r="G55" s="74"/>
      <c r="H55" s="74"/>
      <c r="I55" s="74"/>
      <c r="J55" s="74"/>
      <c r="K55" s="74"/>
      <c r="L55" s="74"/>
      <c r="M55" s="74"/>
      <c r="N55" s="74"/>
      <c r="O55" s="74"/>
      <c r="P55" s="74"/>
    </row>
    <row r="56" spans="1:16" x14ac:dyDescent="0.2">
      <c r="A56" s="74"/>
      <c r="B56" s="74"/>
      <c r="C56" s="74"/>
      <c r="D56" s="74"/>
      <c r="E56" s="74"/>
      <c r="F56" s="74"/>
      <c r="G56" s="74"/>
      <c r="H56" s="74"/>
      <c r="I56" s="74"/>
      <c r="J56" s="74"/>
      <c r="K56" s="74"/>
      <c r="L56" s="74"/>
      <c r="M56" s="74"/>
      <c r="N56" s="74"/>
      <c r="O56" s="74"/>
      <c r="P56" s="74"/>
    </row>
    <row r="57" spans="1:16" x14ac:dyDescent="0.2">
      <c r="A57" s="74"/>
      <c r="B57" s="74"/>
      <c r="C57" s="74"/>
      <c r="D57" s="74"/>
      <c r="E57" s="74"/>
      <c r="F57" s="74"/>
      <c r="G57" s="74"/>
      <c r="H57" s="74"/>
      <c r="I57" s="74"/>
      <c r="J57" s="74"/>
      <c r="K57" s="74"/>
      <c r="L57" s="74"/>
      <c r="M57" s="74"/>
      <c r="N57" s="74"/>
      <c r="O57" s="74"/>
      <c r="P57" s="74"/>
    </row>
    <row r="58" spans="1:16" x14ac:dyDescent="0.2">
      <c r="A58" s="74"/>
      <c r="B58" s="74"/>
      <c r="C58" s="74"/>
      <c r="D58" s="74"/>
      <c r="E58" s="74"/>
      <c r="F58" s="74"/>
      <c r="G58" s="74"/>
      <c r="H58" s="74"/>
      <c r="I58" s="74"/>
      <c r="J58" s="74"/>
      <c r="K58" s="74"/>
      <c r="L58" s="74"/>
      <c r="M58" s="74"/>
      <c r="N58" s="74"/>
      <c r="O58" s="74"/>
      <c r="P58" s="74"/>
    </row>
    <row r="59" spans="1:16" x14ac:dyDescent="0.2">
      <c r="A59" s="74"/>
      <c r="B59" s="74"/>
      <c r="C59" s="74"/>
      <c r="D59" s="74"/>
      <c r="E59" s="74"/>
      <c r="F59" s="74"/>
      <c r="G59" s="74"/>
      <c r="H59" s="74"/>
      <c r="I59" s="74"/>
      <c r="J59" s="74"/>
      <c r="K59" s="74"/>
      <c r="L59" s="74"/>
      <c r="M59" s="74"/>
      <c r="N59" s="74"/>
      <c r="O59" s="74"/>
      <c r="P59" s="74"/>
    </row>
    <row r="60" spans="1:16" x14ac:dyDescent="0.2">
      <c r="A60" s="74"/>
      <c r="B60" s="74"/>
      <c r="C60" s="74"/>
      <c r="D60" s="74"/>
      <c r="E60" s="74"/>
      <c r="F60" s="74"/>
      <c r="G60" s="74"/>
      <c r="H60" s="74"/>
      <c r="I60" s="74"/>
      <c r="J60" s="74"/>
      <c r="K60" s="74"/>
      <c r="L60" s="74"/>
      <c r="M60" s="74"/>
      <c r="N60" s="74"/>
      <c r="O60" s="74"/>
      <c r="P60" s="74"/>
    </row>
    <row r="61" spans="1:16" x14ac:dyDescent="0.2">
      <c r="A61" s="74"/>
      <c r="B61" s="74"/>
      <c r="C61" s="74"/>
      <c r="D61" s="74"/>
      <c r="E61" s="74"/>
      <c r="F61" s="74"/>
      <c r="G61" s="74"/>
      <c r="H61" s="74"/>
      <c r="I61" s="74"/>
      <c r="J61" s="74"/>
      <c r="K61" s="74"/>
      <c r="L61" s="74"/>
      <c r="M61" s="74"/>
      <c r="N61" s="74"/>
      <c r="O61" s="74"/>
      <c r="P61" s="74"/>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GLBE/explorer/revenue_proj" xr:uid="{D6844C10-3916-6343-AF0F-1635EC964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2023-11-10T06:58:01Z</dcterms:modified>
</cp:coreProperties>
</file>