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3391FF1-4F9D-944C-BF88-96E2AD34B643}"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8"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G4" i="2" s="1"/>
  <c r="K4" i="2" a="1"/>
  <c r="K4" i="2" s="1"/>
  <c r="A3" i="2" a="1"/>
  <c r="A3" i="2" s="1"/>
  <c r="K3" i="2" s="1"/>
  <c r="I3" i="1"/>
  <c r="I18" i="1"/>
  <c r="I35" i="1"/>
  <c r="I189"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I12" i="1"/>
  <c r="H12" i="1"/>
  <c r="G12" i="1"/>
  <c r="F12" i="1"/>
  <c r="E12" i="1"/>
  <c r="D12" i="1"/>
  <c r="C12" i="1"/>
  <c r="B12" i="1"/>
  <c r="K3" i="1"/>
  <c r="J3" i="1"/>
  <c r="G3" i="1"/>
  <c r="F3" i="1"/>
  <c r="E3" i="1"/>
  <c r="D3" i="1"/>
  <c r="C3" i="1"/>
  <c r="K13" i="2" l="1"/>
  <c r="E4" i="2"/>
  <c r="K11" i="2"/>
  <c r="O12"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<sst xmlns="http://schemas.openxmlformats.org/spreadsheetml/2006/main" count="920" uniqueCount="247">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</sst>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4" fontId="8" fillId="5" borderId="6"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7"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https://www.bing.com/financeapi/forcetrigger?t=bvsyhw&amp;q=XNYS%3aU&amp;form=skydnc</v>
    <v>Learn more on Bing</v>
  </rv>
  <rv s="1">
    <v>0</v>
    <v>Unity Software Inc (XNYS:U)</v>
    <v>2</v>
    <v>3</v>
    <v>Finance</v>
    <v>4</v>
    <v>en-US</v>
    <v>bvsyhw</v>
    <v>268435456</v>
    <v>1</v>
    <v>Powered by Refinitiv</v>
    <v>50.08</v>
    <v>21.22</v>
    <v>2.633</v>
    <v>-0.82</v>
    <v>-3.1466000000000001E-2</v>
    <v>-3.06</v>
    <v>-0.121236</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27.18</v>
    <v>Software &amp; IT Services</v>
    <v>Stock</v>
    <v>45240.041659536721</v>
    <v>0</v>
    <v>25.17</v>
    <v>9678462252</v>
    <v>Unity Software Inc</v>
    <v>Unity Software Inc</v>
    <v>27</v>
    <v>26.06</v>
    <v>25.24</v>
    <v>22.18</v>
    <v>383457300</v>
    <v>U</v>
    <v>Unity Software Inc (XNYS:U)</v>
    <v>25064373</v>
    <v>9871463</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42" workbookViewId="0">
      <selection activeCell="G173" sqref="G173"/>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193</v>
      </c>
      <c r="K1" s="2" t="s">
        <v>194</v>
      </c>
    </row>
    <row r="2" spans="1:11" ht="16" x14ac:dyDescent="0.2">
      <c r="A2" s="36" t="s">
        <v>10</v>
      </c>
      <c r="B2" s="34">
        <v>380755000</v>
      </c>
      <c r="C2" s="34">
        <v>541779000</v>
      </c>
      <c r="D2" s="34">
        <v>772445000</v>
      </c>
      <c r="E2" s="34">
        <v>1110526000</v>
      </c>
      <c r="F2" s="34">
        <v>1391024000</v>
      </c>
      <c r="G2" s="35">
        <v>1807694000</v>
      </c>
      <c r="H2" s="34">
        <v>322881000</v>
      </c>
      <c r="I2" s="34">
        <v>450974000</v>
      </c>
      <c r="J2" s="34">
        <v>500361000</v>
      </c>
      <c r="K2" s="34">
        <v>533478000</v>
      </c>
    </row>
    <row r="3" spans="1:11" ht="16" x14ac:dyDescent="0.2">
      <c r="A3" s="9" t="s">
        <v>183</v>
      </c>
      <c r="B3" s="10"/>
      <c r="C3" s="11">
        <f t="shared" ref="C3:K3" si="0">(C2/B2)-1</f>
        <v>0.42290711875090281</v>
      </c>
      <c r="D3" s="11">
        <f t="shared" si="0"/>
        <v>0.42575662770243961</v>
      </c>
      <c r="E3" s="11">
        <f t="shared" si="0"/>
        <v>0.43767646887480671</v>
      </c>
      <c r="F3" s="11">
        <f t="shared" si="0"/>
        <v>0.25258120926479877</v>
      </c>
      <c r="G3" s="11">
        <f t="shared" si="0"/>
        <v>0.29954192019691961</v>
      </c>
      <c r="H3" s="11"/>
      <c r="I3" s="11">
        <f t="shared" si="0"/>
        <v>0.39671891501822643</v>
      </c>
      <c r="J3" s="11">
        <f t="shared" si="0"/>
        <v>0.10951185655935824</v>
      </c>
      <c r="K3" s="11">
        <f t="shared" si="0"/>
        <v>6.6186213553814044E-2</v>
      </c>
    </row>
    <row r="4" spans="1:11" ht="16" x14ac:dyDescent="0.2">
      <c r="A4" s="3" t="s">
        <v>11</v>
      </c>
      <c r="B4" s="4">
        <v>380755000</v>
      </c>
      <c r="C4" s="4">
        <v>541779000</v>
      </c>
      <c r="D4" s="4">
        <v>772445000</v>
      </c>
      <c r="E4" s="4">
        <v>1110526000</v>
      </c>
      <c r="F4" s="4">
        <v>1391024000</v>
      </c>
      <c r="G4" s="5">
        <v>1807694000</v>
      </c>
      <c r="H4" s="4">
        <v>322881000</v>
      </c>
      <c r="I4" s="4">
        <v>450974000</v>
      </c>
      <c r="J4" s="4">
        <v>500361000</v>
      </c>
      <c r="K4" s="4">
        <v>533478000</v>
      </c>
    </row>
    <row r="5" spans="1:11" ht="16" x14ac:dyDescent="0.2">
      <c r="A5" s="3" t="s">
        <v>12</v>
      </c>
      <c r="B5" s="4">
        <v>81267000</v>
      </c>
      <c r="C5" s="4">
        <v>118597000</v>
      </c>
      <c r="D5" s="4">
        <v>172347000</v>
      </c>
      <c r="E5" s="4">
        <v>253630000</v>
      </c>
      <c r="F5" s="4">
        <v>442500000</v>
      </c>
      <c r="G5" s="5">
        <v>572622000</v>
      </c>
      <c r="H5" s="4">
        <v>111903000</v>
      </c>
      <c r="I5" s="4">
        <v>139928000</v>
      </c>
      <c r="J5" s="4">
        <v>161964000</v>
      </c>
      <c r="K5" s="4">
        <v>158827000</v>
      </c>
    </row>
    <row r="6" spans="1:11" ht="16" x14ac:dyDescent="0.2">
      <c r="A6" s="3" t="s">
        <v>13</v>
      </c>
      <c r="B6" s="4">
        <v>81267000</v>
      </c>
      <c r="C6" s="4">
        <v>118597000</v>
      </c>
      <c r="D6" s="4">
        <v>172347000</v>
      </c>
      <c r="E6" s="4">
        <v>253630000</v>
      </c>
      <c r="F6" s="4">
        <v>442500000</v>
      </c>
      <c r="G6" s="5">
        <v>572622000</v>
      </c>
      <c r="H6" s="4">
        <v>111903000</v>
      </c>
      <c r="I6" s="4">
        <v>139928000</v>
      </c>
      <c r="J6" s="4">
        <v>161964000</v>
      </c>
      <c r="K6" s="4">
        <v>158827000</v>
      </c>
    </row>
    <row r="7" spans="1:11" ht="16" x14ac:dyDescent="0.2">
      <c r="A7" s="36" t="s">
        <v>14</v>
      </c>
      <c r="B7" s="34">
        <v>299488000</v>
      </c>
      <c r="C7" s="34">
        <v>423182000</v>
      </c>
      <c r="D7" s="34">
        <v>600098000</v>
      </c>
      <c r="E7" s="34">
        <v>856896000</v>
      </c>
      <c r="F7" s="34">
        <v>948524000</v>
      </c>
      <c r="G7" s="35">
        <v>1235072000</v>
      </c>
      <c r="H7" s="34">
        <v>210978000</v>
      </c>
      <c r="I7" s="34">
        <v>311046000</v>
      </c>
      <c r="J7" s="34">
        <v>338397000</v>
      </c>
      <c r="K7" s="34">
        <v>374651000</v>
      </c>
    </row>
    <row r="8" spans="1:11" ht="16" x14ac:dyDescent="0.2">
      <c r="A8" s="37" t="s">
        <v>50</v>
      </c>
      <c r="B8" s="38">
        <v>78.66</v>
      </c>
      <c r="C8" s="38">
        <v>78.11</v>
      </c>
      <c r="D8" s="38">
        <v>77.69</v>
      </c>
      <c r="E8" s="38">
        <v>77.16</v>
      </c>
      <c r="F8" s="38">
        <v>68.19</v>
      </c>
      <c r="G8" s="39">
        <v>68.319999999999993</v>
      </c>
      <c r="H8" s="38">
        <v>65.34</v>
      </c>
      <c r="I8" s="38">
        <v>68.97</v>
      </c>
      <c r="J8" s="38">
        <v>67.63</v>
      </c>
      <c r="K8" s="38">
        <v>70.23</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429789000</v>
      </c>
      <c r="C10" s="4">
        <v>573851000</v>
      </c>
      <c r="D10" s="4">
        <v>874910000</v>
      </c>
      <c r="E10" s="4">
        <v>1388561000</v>
      </c>
      <c r="F10" s="4">
        <v>1830737000</v>
      </c>
      <c r="G10" s="5">
        <v>2194894000</v>
      </c>
      <c r="H10" s="4">
        <v>450604000</v>
      </c>
      <c r="I10" s="4">
        <v>584806000</v>
      </c>
      <c r="J10" s="4">
        <v>593381000</v>
      </c>
      <c r="K10" s="4">
        <v>566103000</v>
      </c>
    </row>
    <row r="11" spans="1:11" ht="16" x14ac:dyDescent="0.2">
      <c r="A11" s="28" t="s">
        <v>18</v>
      </c>
      <c r="B11" s="29">
        <v>225718000</v>
      </c>
      <c r="C11" s="29">
        <v>317923000</v>
      </c>
      <c r="D11" s="29">
        <v>471395000</v>
      </c>
      <c r="E11" s="29">
        <v>692851000</v>
      </c>
      <c r="F11" s="29">
        <v>871246000</v>
      </c>
      <c r="G11" s="30">
        <v>1123968000</v>
      </c>
      <c r="H11" s="29">
        <v>202224000</v>
      </c>
      <c r="I11" s="29">
        <v>310695000</v>
      </c>
      <c r="J11" s="29">
        <v>312901000</v>
      </c>
      <c r="K11" s="29">
        <v>298148000</v>
      </c>
    </row>
    <row r="12" spans="1:11" ht="16" x14ac:dyDescent="0.2">
      <c r="A12" s="12" t="s">
        <v>184</v>
      </c>
      <c r="B12" s="13">
        <f t="shared" ref="B12:K12" si="1">B11/B2</f>
        <v>0.59281690325800052</v>
      </c>
      <c r="C12" s="13">
        <f t="shared" si="1"/>
        <v>0.58681307322727538</v>
      </c>
      <c r="D12" s="13">
        <f t="shared" si="1"/>
        <v>0.61026351390713907</v>
      </c>
      <c r="E12" s="13">
        <f t="shared" si="1"/>
        <v>0.62389444281358564</v>
      </c>
      <c r="F12" s="13">
        <f t="shared" si="1"/>
        <v>0.62633426885517429</v>
      </c>
      <c r="G12" s="13">
        <f t="shared" si="1"/>
        <v>0.62176894983332354</v>
      </c>
      <c r="H12" s="13">
        <f t="shared" si="1"/>
        <v>0.62631124160294349</v>
      </c>
      <c r="I12" s="13">
        <f t="shared" si="1"/>
        <v>0.68894215631056333</v>
      </c>
      <c r="J12" s="13">
        <f t="shared" si="1"/>
        <v>0.62535049694120848</v>
      </c>
      <c r="K12" s="13">
        <f t="shared" si="1"/>
        <v>0.55887590491079298</v>
      </c>
    </row>
    <row r="13" spans="1:11" ht="16" x14ac:dyDescent="0.2">
      <c r="A13" s="28" t="s">
        <v>19</v>
      </c>
      <c r="B13" s="29">
        <v>204071000</v>
      </c>
      <c r="C13" s="29">
        <v>255928000</v>
      </c>
      <c r="D13" s="29">
        <v>403515000</v>
      </c>
      <c r="E13" s="29">
        <v>695710000</v>
      </c>
      <c r="F13" s="29">
        <v>959491000</v>
      </c>
      <c r="G13" s="30">
        <v>1070926000</v>
      </c>
      <c r="H13" s="29">
        <v>248380000</v>
      </c>
      <c r="I13" s="29">
        <v>274111000</v>
      </c>
      <c r="J13" s="29">
        <v>280480000</v>
      </c>
      <c r="K13" s="29">
        <v>267955000</v>
      </c>
    </row>
    <row r="14" spans="1:11" ht="16" x14ac:dyDescent="0.2">
      <c r="A14" s="14" t="s">
        <v>185</v>
      </c>
      <c r="B14" s="15">
        <f t="shared" ref="B14:K14" si="2">B13/B2</f>
        <v>0.5359640713844861</v>
      </c>
      <c r="C14" s="15">
        <f t="shared" si="2"/>
        <v>0.47238449626139073</v>
      </c>
      <c r="D14" s="15">
        <f t="shared" si="2"/>
        <v>0.52238670714419799</v>
      </c>
      <c r="E14" s="15">
        <f t="shared" si="2"/>
        <v>0.62646889852196164</v>
      </c>
      <c r="F14" s="15">
        <f t="shared" si="2"/>
        <v>0.68977314553882607</v>
      </c>
      <c r="G14" s="15">
        <f t="shared" si="2"/>
        <v>0.59242659432403932</v>
      </c>
      <c r="H14" s="15">
        <f t="shared" si="2"/>
        <v>0.76926174039351958</v>
      </c>
      <c r="I14" s="15">
        <f t="shared" si="2"/>
        <v>0.60781996301338881</v>
      </c>
      <c r="J14" s="15">
        <f t="shared" si="2"/>
        <v>0.56055527908849812</v>
      </c>
      <c r="K14" s="15">
        <f t="shared" si="2"/>
        <v>0.50227938171770903</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36" t="s">
        <v>21</v>
      </c>
      <c r="B16" s="34">
        <v>-130301000</v>
      </c>
      <c r="C16" s="34">
        <v>-150669000</v>
      </c>
      <c r="D16" s="34">
        <v>-274812000</v>
      </c>
      <c r="E16" s="34">
        <v>-531665000</v>
      </c>
      <c r="F16" s="34">
        <v>-882213000</v>
      </c>
      <c r="G16" s="35">
        <v>-959822000</v>
      </c>
      <c r="H16" s="34">
        <v>-239626000</v>
      </c>
      <c r="I16" s="34">
        <v>-273760000</v>
      </c>
      <c r="J16" s="34">
        <v>-254984000</v>
      </c>
      <c r="K16" s="34">
        <v>-191452000</v>
      </c>
    </row>
    <row r="17" spans="1:11" ht="16" x14ac:dyDescent="0.2">
      <c r="A17" s="28" t="s">
        <v>51</v>
      </c>
      <c r="B17" s="32">
        <v>-34.22</v>
      </c>
      <c r="C17" s="32">
        <v>-27.81</v>
      </c>
      <c r="D17" s="32">
        <v>-35.58</v>
      </c>
      <c r="E17" s="32">
        <v>-47.88</v>
      </c>
      <c r="F17" s="32">
        <v>-63.42</v>
      </c>
      <c r="G17" s="33">
        <v>-53.1</v>
      </c>
      <c r="H17" s="32">
        <v>-74.209999999999994</v>
      </c>
      <c r="I17" s="32">
        <v>-60.7</v>
      </c>
      <c r="J17" s="32">
        <v>-50.96</v>
      </c>
      <c r="K17" s="32">
        <v>-35.89</v>
      </c>
    </row>
    <row r="18" spans="1:11" ht="16" x14ac:dyDescent="0.2">
      <c r="A18" s="16" t="s">
        <v>186</v>
      </c>
      <c r="B18" s="17"/>
      <c r="C18" s="13">
        <f>(C16/B16)-1</f>
        <v>0.15631499374525148</v>
      </c>
      <c r="D18" s="13">
        <f>(D16/C16)-1</f>
        <v>0.82394520438842767</v>
      </c>
      <c r="E18" s="13">
        <f>(E16/D16)-1</f>
        <v>0.93464986972912389</v>
      </c>
      <c r="F18" s="13">
        <f t="shared" ref="F18:K18" si="3">(F16/E16)-1</f>
        <v>0.65933999793102793</v>
      </c>
      <c r="G18" s="13">
        <f t="shared" si="3"/>
        <v>8.7970818838534415E-2</v>
      </c>
      <c r="H18" s="13"/>
      <c r="I18" s="13">
        <f t="shared" si="3"/>
        <v>0.14244697987697497</v>
      </c>
      <c r="J18" s="13">
        <f t="shared" si="3"/>
        <v>-6.8585622443015803E-2</v>
      </c>
      <c r="K18" s="13">
        <f t="shared" si="3"/>
        <v>-0.24916073165375086</v>
      </c>
    </row>
    <row r="19" spans="1:11" ht="16" x14ac:dyDescent="0.2">
      <c r="A19" s="3" t="s">
        <v>22</v>
      </c>
      <c r="B19" s="4">
        <v>2327000</v>
      </c>
      <c r="C19" s="4">
        <v>2573000</v>
      </c>
      <c r="D19" s="4">
        <v>5405000</v>
      </c>
      <c r="E19" s="4">
        <v>-435000</v>
      </c>
      <c r="F19" s="4">
        <v>212000</v>
      </c>
      <c r="G19" s="5">
        <v>-14544000</v>
      </c>
      <c r="H19" s="4">
        <v>-1073000</v>
      </c>
      <c r="I19" s="4">
        <v>-3066000</v>
      </c>
      <c r="J19" s="4">
        <v>-7486000</v>
      </c>
      <c r="K19" s="4">
        <v>-2919000</v>
      </c>
    </row>
    <row r="20" spans="1:11" ht="16" x14ac:dyDescent="0.2">
      <c r="A20" s="3" t="s">
        <v>23</v>
      </c>
      <c r="B20" s="4">
        <v>2327000</v>
      </c>
      <c r="C20" s="4">
        <v>2573000</v>
      </c>
      <c r="D20" s="4">
        <v>5405000</v>
      </c>
      <c r="E20" s="4">
        <v>-435000</v>
      </c>
      <c r="F20" s="4">
        <v>212000</v>
      </c>
      <c r="G20" s="5">
        <v>-14544000</v>
      </c>
      <c r="H20" s="4">
        <v>-1073000</v>
      </c>
      <c r="I20" s="4">
        <v>-3066000</v>
      </c>
      <c r="J20" s="4">
        <v>-7486000</v>
      </c>
      <c r="K20" s="4">
        <v>-2919000</v>
      </c>
    </row>
    <row r="21" spans="1:11" ht="16" x14ac:dyDescent="0.2">
      <c r="A21" s="3" t="s">
        <v>24</v>
      </c>
      <c r="B21" s="4">
        <v>2327000</v>
      </c>
      <c r="C21" s="4">
        <v>2573000</v>
      </c>
      <c r="D21" s="4">
        <v>5405000</v>
      </c>
      <c r="E21" s="4">
        <v>1131000</v>
      </c>
      <c r="F21" s="4">
        <v>7404000</v>
      </c>
      <c r="G21" s="5">
        <v>17441000</v>
      </c>
      <c r="H21" s="4">
        <v>1135000</v>
      </c>
      <c r="I21" s="4">
        <v>4035000</v>
      </c>
      <c r="J21" s="4">
        <v>6129000</v>
      </c>
      <c r="K21" s="4">
        <v>6142000</v>
      </c>
    </row>
    <row r="22" spans="1:11" ht="16" x14ac:dyDescent="0.2">
      <c r="A22" s="3" t="s">
        <v>25</v>
      </c>
      <c r="B22" s="4" t="s">
        <v>16</v>
      </c>
      <c r="C22" s="4" t="s">
        <v>16</v>
      </c>
      <c r="D22" s="4" t="s">
        <v>16</v>
      </c>
      <c r="E22" s="4">
        <v>1566000</v>
      </c>
      <c r="F22" s="4">
        <v>7192000</v>
      </c>
      <c r="G22" s="5">
        <v>31985000</v>
      </c>
      <c r="H22" s="4">
        <v>2208000</v>
      </c>
      <c r="I22" s="4">
        <v>7101000</v>
      </c>
      <c r="J22" s="4">
        <v>13615000</v>
      </c>
      <c r="K22" s="4">
        <v>9061000</v>
      </c>
    </row>
    <row r="23" spans="1:11" ht="16" x14ac:dyDescent="0.2">
      <c r="A23" s="3" t="s">
        <v>26</v>
      </c>
      <c r="B23" s="4" t="s">
        <v>16</v>
      </c>
      <c r="C23" s="4" t="s">
        <v>16</v>
      </c>
      <c r="D23" s="4" t="s">
        <v>16</v>
      </c>
      <c r="E23" s="4" t="s">
        <v>16</v>
      </c>
      <c r="F23" s="4" t="s">
        <v>16</v>
      </c>
      <c r="G23" s="5" t="s">
        <v>16</v>
      </c>
      <c r="H23" s="4" t="s">
        <v>16</v>
      </c>
      <c r="I23" s="4" t="s">
        <v>16</v>
      </c>
      <c r="J23" s="4" t="s">
        <v>16</v>
      </c>
      <c r="K23" s="4" t="s">
        <v>16</v>
      </c>
    </row>
    <row r="24" spans="1:11" ht="16" x14ac:dyDescent="0.2">
      <c r="A24" s="3" t="s">
        <v>27</v>
      </c>
      <c r="B24" s="4">
        <v>-132628000</v>
      </c>
      <c r="C24" s="4">
        <v>-153242000</v>
      </c>
      <c r="D24" s="4">
        <v>-280217000</v>
      </c>
      <c r="E24" s="4">
        <v>-531230000</v>
      </c>
      <c r="F24" s="4">
        <v>-882425000</v>
      </c>
      <c r="G24" s="5">
        <v>-945278000</v>
      </c>
      <c r="H24" s="4">
        <v>-238553000</v>
      </c>
      <c r="I24" s="4">
        <v>-270694000</v>
      </c>
      <c r="J24" s="4">
        <v>-247498000</v>
      </c>
      <c r="K24" s="4">
        <v>-188533000</v>
      </c>
    </row>
    <row r="25" spans="1:11" ht="16" x14ac:dyDescent="0.2">
      <c r="A25" s="3" t="s">
        <v>28</v>
      </c>
      <c r="B25" s="4">
        <v>-1026000</v>
      </c>
      <c r="C25" s="4">
        <v>9948000</v>
      </c>
      <c r="D25" s="4">
        <v>2091000</v>
      </c>
      <c r="E25" s="4">
        <v>1377000</v>
      </c>
      <c r="F25" s="4">
        <v>37063000</v>
      </c>
      <c r="G25" s="5">
        <v>39524000</v>
      </c>
      <c r="H25" s="4">
        <v>11468000</v>
      </c>
      <c r="I25" s="4">
        <v>17060000</v>
      </c>
      <c r="J25" s="4">
        <v>6205000</v>
      </c>
      <c r="K25" s="4">
        <v>4791000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-131602000</v>
      </c>
      <c r="C27" s="4">
        <v>-163190000</v>
      </c>
      <c r="D27" s="4">
        <v>-282308000</v>
      </c>
      <c r="E27" s="4">
        <v>-532607000</v>
      </c>
      <c r="F27" s="4">
        <v>-919488000</v>
      </c>
      <c r="G27" s="5">
        <v>-984802000</v>
      </c>
      <c r="H27" s="4">
        <v>-250021000</v>
      </c>
      <c r="I27" s="4">
        <v>-287754000</v>
      </c>
      <c r="J27" s="4">
        <v>-253703000</v>
      </c>
      <c r="K27" s="4">
        <v>-193324000</v>
      </c>
    </row>
    <row r="28" spans="1:11" ht="16" x14ac:dyDescent="0.2">
      <c r="A28" s="3" t="s">
        <v>31</v>
      </c>
      <c r="B28" s="4" t="s">
        <v>16</v>
      </c>
      <c r="C28" s="4" t="s">
        <v>16</v>
      </c>
      <c r="D28" s="4" t="s">
        <v>16</v>
      </c>
      <c r="E28" s="4" t="s">
        <v>16</v>
      </c>
      <c r="F28" s="4">
        <v>3148000</v>
      </c>
      <c r="G28" s="5">
        <v>-524000</v>
      </c>
      <c r="H28" s="4" t="s">
        <v>16</v>
      </c>
      <c r="I28" s="4">
        <v>3148000</v>
      </c>
      <c r="J28" s="4">
        <v>-1344000</v>
      </c>
      <c r="K28" s="4">
        <v>-2328000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3148000</v>
      </c>
      <c r="G30" s="5">
        <v>-524000</v>
      </c>
      <c r="H30" s="4" t="s">
        <v>16</v>
      </c>
      <c r="I30" s="4">
        <v>3148000</v>
      </c>
      <c r="J30" s="4">
        <v>-1344000</v>
      </c>
      <c r="K30" s="4">
        <v>-2328000</v>
      </c>
    </row>
    <row r="31" spans="1:11" ht="16" x14ac:dyDescent="0.2">
      <c r="A31" s="3" t="s">
        <v>34</v>
      </c>
      <c r="B31" s="4">
        <v>-131602000</v>
      </c>
      <c r="C31" s="4">
        <v>-163190000</v>
      </c>
      <c r="D31" s="4">
        <v>-282308000</v>
      </c>
      <c r="E31" s="4">
        <v>-532607000</v>
      </c>
      <c r="F31" s="4">
        <v>-922636000</v>
      </c>
      <c r="G31" s="5">
        <v>-984278000</v>
      </c>
      <c r="H31" s="4">
        <v>-250021000</v>
      </c>
      <c r="I31" s="4">
        <v>-290902000</v>
      </c>
      <c r="J31" s="4">
        <v>-252359000</v>
      </c>
      <c r="K31" s="4">
        <v>-190996000</v>
      </c>
    </row>
    <row r="32" spans="1:11" ht="16" x14ac:dyDescent="0.2">
      <c r="A32" s="3" t="s">
        <v>35</v>
      </c>
      <c r="B32" s="4" t="s">
        <v>16</v>
      </c>
      <c r="C32" s="4" t="s">
        <v>16</v>
      </c>
      <c r="D32" s="4" t="s">
        <v>16</v>
      </c>
      <c r="E32" s="4" t="s">
        <v>16</v>
      </c>
      <c r="F32" s="4">
        <v>-1574000</v>
      </c>
      <c r="G32" s="5">
        <v>262000</v>
      </c>
      <c r="H32" s="4" t="s">
        <v>16</v>
      </c>
      <c r="I32" s="4">
        <v>-1574000</v>
      </c>
      <c r="J32" s="4">
        <v>672000</v>
      </c>
      <c r="K32" s="4">
        <v>1164000</v>
      </c>
    </row>
    <row r="33" spans="1:11" ht="16" x14ac:dyDescent="0.2">
      <c r="A33" s="36" t="s">
        <v>36</v>
      </c>
      <c r="B33" s="34">
        <v>-131602000</v>
      </c>
      <c r="C33" s="34">
        <v>-163190000</v>
      </c>
      <c r="D33" s="34">
        <v>-282308000</v>
      </c>
      <c r="E33" s="34">
        <v>-532607000</v>
      </c>
      <c r="F33" s="34">
        <v>-921062000</v>
      </c>
      <c r="G33" s="35">
        <v>-984540000</v>
      </c>
      <c r="H33" s="34">
        <v>-250021000</v>
      </c>
      <c r="I33" s="34">
        <v>-289328000</v>
      </c>
      <c r="J33" s="34">
        <v>-253031000</v>
      </c>
      <c r="K33" s="34">
        <v>-192160000</v>
      </c>
    </row>
    <row r="34" spans="1:11" ht="16" x14ac:dyDescent="0.2">
      <c r="A34" s="28" t="s">
        <v>52</v>
      </c>
      <c r="B34" s="32">
        <v>-34.56</v>
      </c>
      <c r="C34" s="32">
        <v>-30.12</v>
      </c>
      <c r="D34" s="32">
        <v>-36.549999999999997</v>
      </c>
      <c r="E34" s="32">
        <v>-47.96</v>
      </c>
      <c r="F34" s="32">
        <v>-66.209999999999994</v>
      </c>
      <c r="G34" s="33">
        <v>-54.46</v>
      </c>
      <c r="H34" s="32">
        <v>-77.430000000000007</v>
      </c>
      <c r="I34" s="32">
        <v>-64.16</v>
      </c>
      <c r="J34" s="32">
        <v>-50.57</v>
      </c>
      <c r="K34" s="32">
        <v>-36.020000000000003</v>
      </c>
    </row>
    <row r="35" spans="1:11" ht="16" x14ac:dyDescent="0.2">
      <c r="A35" s="18" t="s">
        <v>187</v>
      </c>
      <c r="B35" s="19"/>
      <c r="C35" s="15">
        <f>(C33/B33)-1</f>
        <v>0.24002674731387064</v>
      </c>
      <c r="D35" s="15">
        <f>(D33/C33)-1</f>
        <v>0.7299344322568786</v>
      </c>
      <c r="E35" s="15">
        <f>(E33/D33)-1</f>
        <v>0.88661674483188579</v>
      </c>
      <c r="F35" s="15">
        <f t="shared" ref="F35:K35" si="4">(F33/E33)-1</f>
        <v>0.72934640363344827</v>
      </c>
      <c r="G35" s="15">
        <f t="shared" si="4"/>
        <v>6.8918270431306494E-2</v>
      </c>
      <c r="H35" s="15"/>
      <c r="I35" s="15">
        <f t="shared" si="4"/>
        <v>0.15721479395730764</v>
      </c>
      <c r="J35" s="15">
        <f t="shared" si="4"/>
        <v>-0.12545277332301052</v>
      </c>
      <c r="K35" s="15">
        <f t="shared" si="4"/>
        <v>-0.24056736131145984</v>
      </c>
    </row>
    <row r="36" spans="1:11" ht="16" x14ac:dyDescent="0.2">
      <c r="A36" s="20" t="s">
        <v>188</v>
      </c>
      <c r="B36" s="21">
        <f t="shared" ref="B36:K36" si="5">(B16*(1-0.25))/(B126+B105+B96)</f>
        <v>-0.30913446178276455</v>
      </c>
      <c r="C36" s="21">
        <f t="shared" si="5"/>
        <v>-0.28687127295251974</v>
      </c>
      <c r="D36" s="21">
        <f t="shared" si="5"/>
        <v>-9.5374470743388631E-2</v>
      </c>
      <c r="E36" s="21">
        <f t="shared" si="5"/>
        <v>-9.4631634380664562E-2</v>
      </c>
      <c r="F36" s="21">
        <f t="shared" si="5"/>
        <v>-0.10240350239115967</v>
      </c>
      <c r="G36" s="21">
        <f t="shared" si="5"/>
        <v>-0.1084036544227632</v>
      </c>
      <c r="H36" s="21">
        <f t="shared" si="5"/>
        <v>-4.5699093567705004E-2</v>
      </c>
      <c r="I36" s="21">
        <f t="shared" si="5"/>
        <v>-3.177688700416325E-2</v>
      </c>
      <c r="J36" s="21">
        <f t="shared" si="5"/>
        <v>-2.8718674782385135E-2</v>
      </c>
      <c r="K36" s="21">
        <f t="shared" si="5"/>
        <v>-2.1622859703723046E-2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-131602000</v>
      </c>
      <c r="C39" s="4">
        <v>-163190000</v>
      </c>
      <c r="D39" s="4">
        <v>-282308000</v>
      </c>
      <c r="E39" s="4">
        <v>-532607000</v>
      </c>
      <c r="F39" s="4">
        <v>-921062000</v>
      </c>
      <c r="G39" s="5">
        <v>-984540000</v>
      </c>
      <c r="H39" s="4">
        <v>-250021000</v>
      </c>
      <c r="I39" s="4">
        <v>-289328000</v>
      </c>
      <c r="J39" s="4">
        <v>-253031000</v>
      </c>
      <c r="K39" s="4">
        <v>-192160000</v>
      </c>
    </row>
    <row r="40" spans="1:11" ht="16" x14ac:dyDescent="0.2">
      <c r="A40" s="3" t="s">
        <v>40</v>
      </c>
      <c r="B40" s="4">
        <v>228210000</v>
      </c>
      <c r="C40" s="4">
        <v>228210000</v>
      </c>
      <c r="D40" s="4">
        <v>169973000</v>
      </c>
      <c r="E40" s="4">
        <v>282195000</v>
      </c>
      <c r="F40" s="4">
        <v>310504000</v>
      </c>
      <c r="G40" s="5">
        <v>351759500</v>
      </c>
      <c r="H40" s="4">
        <v>299062000</v>
      </c>
      <c r="I40" s="4">
        <v>351712000</v>
      </c>
      <c r="J40" s="4">
        <v>375909000</v>
      </c>
      <c r="K40" s="4">
        <v>380355000</v>
      </c>
    </row>
    <row r="41" spans="1:11" ht="16" x14ac:dyDescent="0.2">
      <c r="A41" s="3" t="s">
        <v>41</v>
      </c>
      <c r="B41" s="6">
        <v>-0.57999999999999996</v>
      </c>
      <c r="C41" s="6">
        <v>-0.72</v>
      </c>
      <c r="D41" s="6">
        <v>-1.66</v>
      </c>
      <c r="E41" s="6">
        <v>-1.89</v>
      </c>
      <c r="F41" s="6">
        <v>-2.97</v>
      </c>
      <c r="G41" s="7">
        <v>-2.8</v>
      </c>
      <c r="H41" s="6">
        <v>-0.84</v>
      </c>
      <c r="I41" s="6">
        <v>-0.82</v>
      </c>
      <c r="J41" s="6">
        <v>-0.67</v>
      </c>
      <c r="K41" s="6">
        <v>-0.51</v>
      </c>
    </row>
    <row r="42" spans="1:11" ht="16" x14ac:dyDescent="0.2">
      <c r="A42" s="3" t="s">
        <v>42</v>
      </c>
      <c r="B42" s="6">
        <v>-0.57999999999999996</v>
      </c>
      <c r="C42" s="6">
        <v>-0.72</v>
      </c>
      <c r="D42" s="6">
        <v>-1.66</v>
      </c>
      <c r="E42" s="6">
        <v>-1.89</v>
      </c>
      <c r="F42" s="6">
        <v>-2.96</v>
      </c>
      <c r="G42" s="7">
        <v>-2.8</v>
      </c>
      <c r="H42" s="6">
        <v>-0.84</v>
      </c>
      <c r="I42" s="6">
        <v>-0.82</v>
      </c>
      <c r="J42" s="6">
        <v>-0.67</v>
      </c>
      <c r="K42" s="6">
        <v>-0.51</v>
      </c>
    </row>
    <row r="43" spans="1:11" ht="16" x14ac:dyDescent="0.2">
      <c r="A43" s="3" t="s">
        <v>43</v>
      </c>
      <c r="B43" s="4">
        <v>228210000</v>
      </c>
      <c r="C43" s="4">
        <v>228210000</v>
      </c>
      <c r="D43" s="4">
        <v>169973000</v>
      </c>
      <c r="E43" s="4">
        <v>282195000</v>
      </c>
      <c r="F43" s="4">
        <v>310504000</v>
      </c>
      <c r="G43" s="5">
        <v>351759500</v>
      </c>
      <c r="H43" s="4">
        <v>299062000</v>
      </c>
      <c r="I43" s="4">
        <v>351712000</v>
      </c>
      <c r="J43" s="4">
        <v>375909000</v>
      </c>
      <c r="K43" s="4">
        <v>380355000</v>
      </c>
    </row>
    <row r="44" spans="1:11" ht="16" x14ac:dyDescent="0.2">
      <c r="A44" s="3" t="s">
        <v>44</v>
      </c>
      <c r="B44" s="6">
        <v>-0.57999999999999996</v>
      </c>
      <c r="C44" s="6">
        <v>-0.72</v>
      </c>
      <c r="D44" s="6">
        <v>-1.66</v>
      </c>
      <c r="E44" s="6">
        <v>-1.89</v>
      </c>
      <c r="F44" s="6">
        <v>-2.97</v>
      </c>
      <c r="G44" s="7">
        <v>-2.8</v>
      </c>
      <c r="H44" s="6">
        <v>-0.84</v>
      </c>
      <c r="I44" s="6">
        <v>-0.82</v>
      </c>
      <c r="J44" s="6">
        <v>-0.67</v>
      </c>
      <c r="K44" s="6">
        <v>-0.51</v>
      </c>
    </row>
    <row r="45" spans="1:11" ht="16" x14ac:dyDescent="0.2">
      <c r="A45" s="3" t="s">
        <v>45</v>
      </c>
      <c r="B45" s="6">
        <v>-0.57999999999999996</v>
      </c>
      <c r="C45" s="6">
        <v>-0.72</v>
      </c>
      <c r="D45" s="6">
        <v>-1.66</v>
      </c>
      <c r="E45" s="6">
        <v>-1.89</v>
      </c>
      <c r="F45" s="6">
        <v>-2.96</v>
      </c>
      <c r="G45" s="7">
        <v>-2.8</v>
      </c>
      <c r="H45" s="6">
        <v>-0.84</v>
      </c>
      <c r="I45" s="6">
        <v>-0.82</v>
      </c>
      <c r="J45" s="6">
        <v>-0.67</v>
      </c>
      <c r="K45" s="6">
        <v>-0.51</v>
      </c>
    </row>
    <row r="46" spans="1:11" ht="16" x14ac:dyDescent="0.2">
      <c r="A46" s="3" t="s">
        <v>46</v>
      </c>
      <c r="B46" s="4">
        <v>-109783000</v>
      </c>
      <c r="C46" s="4">
        <v>-119556000</v>
      </c>
      <c r="D46" s="4">
        <v>-231838000</v>
      </c>
      <c r="E46" s="4">
        <v>-467098000</v>
      </c>
      <c r="F46" s="4">
        <v>-670637000</v>
      </c>
      <c r="G46" s="5">
        <v>-611715000</v>
      </c>
      <c r="H46" s="4">
        <v>-196136000</v>
      </c>
      <c r="I46" s="4">
        <v>-189782000</v>
      </c>
      <c r="J46" s="4">
        <v>-145424000</v>
      </c>
      <c r="K46" s="4">
        <v>-80373000</v>
      </c>
    </row>
    <row r="47" spans="1:11" ht="16" x14ac:dyDescent="0.2">
      <c r="A47" s="3" t="s">
        <v>47</v>
      </c>
      <c r="B47" s="6">
        <v>-28.83</v>
      </c>
      <c r="C47" s="6">
        <v>-22.07</v>
      </c>
      <c r="D47" s="6">
        <v>-30.01</v>
      </c>
      <c r="E47" s="6">
        <v>-42.06</v>
      </c>
      <c r="F47" s="6">
        <v>-48.21</v>
      </c>
      <c r="G47" s="7">
        <v>-33.840000000000003</v>
      </c>
      <c r="H47" s="6">
        <v>-47.8</v>
      </c>
      <c r="I47" s="6">
        <v>-48.21</v>
      </c>
      <c r="J47" s="6">
        <v>-43.68</v>
      </c>
      <c r="K47" s="6">
        <v>-33.840000000000003</v>
      </c>
    </row>
    <row r="48" spans="1:11" ht="16" x14ac:dyDescent="0.2">
      <c r="A48" s="3" t="s">
        <v>48</v>
      </c>
      <c r="B48" s="4">
        <v>-130301000</v>
      </c>
      <c r="C48" s="4">
        <v>-150669000</v>
      </c>
      <c r="D48" s="4">
        <v>-274812000</v>
      </c>
      <c r="E48" s="4">
        <v>-531665000</v>
      </c>
      <c r="F48" s="4">
        <v>-882213000</v>
      </c>
      <c r="G48" s="5">
        <v>-959822000</v>
      </c>
      <c r="H48" s="4">
        <v>-239626000</v>
      </c>
      <c r="I48" s="4">
        <v>-273760000</v>
      </c>
      <c r="J48" s="4">
        <v>-254984000</v>
      </c>
      <c r="K48" s="4">
        <v>-191452000</v>
      </c>
    </row>
    <row r="49" spans="1:11" ht="16" x14ac:dyDescent="0.2">
      <c r="A49" s="3" t="s">
        <v>49</v>
      </c>
      <c r="B49" s="4">
        <v>-130301000</v>
      </c>
      <c r="C49" s="4">
        <v>-150669000</v>
      </c>
      <c r="D49" s="4">
        <v>-274812000</v>
      </c>
      <c r="E49" s="4">
        <v>-531665000</v>
      </c>
      <c r="F49" s="4">
        <v>-882213000</v>
      </c>
      <c r="G49" s="5">
        <v>-959822000</v>
      </c>
      <c r="H49" s="4">
        <v>-239626000</v>
      </c>
      <c r="I49" s="4">
        <v>-273760000</v>
      </c>
      <c r="J49" s="4">
        <v>-254984000</v>
      </c>
      <c r="K49" s="4">
        <v>-191452000</v>
      </c>
    </row>
    <row r="50" spans="1:11" ht="16" x14ac:dyDescent="0.2">
      <c r="A50" s="3" t="s">
        <v>53</v>
      </c>
      <c r="B50" s="4" t="s">
        <v>16</v>
      </c>
      <c r="C50" s="4" t="s">
        <v>16</v>
      </c>
      <c r="D50" s="4">
        <v>193063</v>
      </c>
      <c r="E50" s="4">
        <v>211730</v>
      </c>
      <c r="F50" s="4">
        <v>180582</v>
      </c>
      <c r="G50" s="5">
        <v>234674</v>
      </c>
      <c r="H50" s="4">
        <v>61560</v>
      </c>
      <c r="I50" s="4">
        <v>58545</v>
      </c>
      <c r="J50" s="4">
        <v>64957</v>
      </c>
      <c r="K50" s="4">
        <v>69256</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20518000</v>
      </c>
      <c r="C52" s="4">
        <v>31113000</v>
      </c>
      <c r="D52" s="4">
        <v>42974000</v>
      </c>
      <c r="E52" s="4">
        <v>64567000</v>
      </c>
      <c r="F52" s="4">
        <v>211576000</v>
      </c>
      <c r="G52" s="5">
        <v>348107000</v>
      </c>
      <c r="H52" s="4">
        <v>43490000</v>
      </c>
      <c r="I52" s="4">
        <v>83978000</v>
      </c>
      <c r="J52" s="4">
        <v>109560000</v>
      </c>
      <c r="K52" s="4">
        <v>111079000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438626000</v>
      </c>
      <c r="C55" s="4">
        <v>367417000</v>
      </c>
      <c r="D55" s="4">
        <v>2080660000</v>
      </c>
      <c r="E55" s="4">
        <v>2151110000</v>
      </c>
      <c r="F55" s="4">
        <v>2364640000</v>
      </c>
      <c r="G55" s="5">
        <v>2394364000</v>
      </c>
      <c r="H55" s="4">
        <v>2084400000</v>
      </c>
      <c r="I55" s="4">
        <v>2364640000</v>
      </c>
      <c r="J55" s="4">
        <v>2343362000</v>
      </c>
      <c r="K55" s="4">
        <v>2394364000</v>
      </c>
    </row>
    <row r="56" spans="1:11" ht="16" x14ac:dyDescent="0.2">
      <c r="A56" s="3" t="s">
        <v>57</v>
      </c>
      <c r="B56" s="4">
        <v>258731000</v>
      </c>
      <c r="C56" s="4">
        <v>129959000</v>
      </c>
      <c r="D56" s="4">
        <v>1751984000</v>
      </c>
      <c r="E56" s="4">
        <v>1737099000</v>
      </c>
      <c r="F56" s="4">
        <v>1586795000</v>
      </c>
      <c r="G56" s="5">
        <v>1640926000</v>
      </c>
      <c r="H56" s="4">
        <v>1686103000</v>
      </c>
      <c r="I56" s="4">
        <v>1586795000</v>
      </c>
      <c r="J56" s="4">
        <v>1593946000</v>
      </c>
      <c r="K56" s="4">
        <v>1640926000</v>
      </c>
    </row>
    <row r="57" spans="1:11" ht="16" x14ac:dyDescent="0.2">
      <c r="A57" s="3" t="s">
        <v>58</v>
      </c>
      <c r="B57" s="4">
        <v>258731000</v>
      </c>
      <c r="C57" s="4">
        <v>129959000</v>
      </c>
      <c r="D57" s="4">
        <v>1272578000</v>
      </c>
      <c r="E57" s="4">
        <v>1055776000</v>
      </c>
      <c r="F57" s="4">
        <v>1485084000</v>
      </c>
      <c r="G57" s="5">
        <v>1640926000</v>
      </c>
      <c r="H57" s="4">
        <v>1239337000</v>
      </c>
      <c r="I57" s="4">
        <v>1485084000</v>
      </c>
      <c r="J57" s="4">
        <v>1593946000</v>
      </c>
      <c r="K57" s="4">
        <v>1640926000</v>
      </c>
    </row>
    <row r="58" spans="1:11" ht="16" x14ac:dyDescent="0.2">
      <c r="A58" s="3" t="s">
        <v>59</v>
      </c>
      <c r="B58" s="4" t="s">
        <v>16</v>
      </c>
      <c r="C58" s="4" t="s">
        <v>16</v>
      </c>
      <c r="D58" s="4">
        <v>479406000</v>
      </c>
      <c r="E58" s="4">
        <v>681323000</v>
      </c>
      <c r="F58" s="4">
        <v>101711000</v>
      </c>
      <c r="G58" s="5" t="s">
        <v>16</v>
      </c>
      <c r="H58" s="4">
        <v>446766000</v>
      </c>
      <c r="I58" s="4">
        <v>101711000</v>
      </c>
      <c r="J58" s="4" t="s">
        <v>16</v>
      </c>
      <c r="K58" s="4" t="s">
        <v>16</v>
      </c>
    </row>
    <row r="59" spans="1:11" ht="16" x14ac:dyDescent="0.2">
      <c r="A59" s="3" t="s">
        <v>60</v>
      </c>
      <c r="B59" s="4">
        <v>152481000</v>
      </c>
      <c r="C59" s="4">
        <v>204898000</v>
      </c>
      <c r="D59" s="4">
        <v>274255000</v>
      </c>
      <c r="E59" s="4">
        <v>340491000</v>
      </c>
      <c r="F59" s="4">
        <v>633775000</v>
      </c>
      <c r="G59" s="5">
        <v>632032000</v>
      </c>
      <c r="H59" s="4">
        <v>316337000</v>
      </c>
      <c r="I59" s="4">
        <v>633775000</v>
      </c>
      <c r="J59" s="4">
        <v>612763000</v>
      </c>
      <c r="K59" s="4">
        <v>632032000</v>
      </c>
    </row>
    <row r="60" spans="1:11" ht="16" x14ac:dyDescent="0.2">
      <c r="A60" s="3" t="s">
        <v>61</v>
      </c>
      <c r="B60" s="4">
        <v>152481000</v>
      </c>
      <c r="C60" s="4">
        <v>204898000</v>
      </c>
      <c r="D60" s="4">
        <v>274255000</v>
      </c>
      <c r="E60" s="4">
        <v>340491000</v>
      </c>
      <c r="F60" s="4">
        <v>633775000</v>
      </c>
      <c r="G60" s="5">
        <v>632032000</v>
      </c>
      <c r="H60" s="4">
        <v>316337000</v>
      </c>
      <c r="I60" s="4">
        <v>633775000</v>
      </c>
      <c r="J60" s="4">
        <v>612763000</v>
      </c>
      <c r="K60" s="4">
        <v>632032000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27414000</v>
      </c>
      <c r="C70" s="4">
        <v>32560000</v>
      </c>
      <c r="D70" s="4">
        <v>54421000</v>
      </c>
      <c r="E70" s="4">
        <v>73520000</v>
      </c>
      <c r="F70" s="4">
        <v>144070000</v>
      </c>
      <c r="G70" s="5">
        <v>121406000</v>
      </c>
      <c r="H70" s="4">
        <v>81960000</v>
      </c>
      <c r="I70" s="4">
        <v>144070000</v>
      </c>
      <c r="J70" s="4">
        <v>136653000</v>
      </c>
      <c r="K70" s="4">
        <v>121406000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150675000</v>
      </c>
      <c r="C76" s="4">
        <v>395443000</v>
      </c>
      <c r="D76" s="4">
        <v>590565000</v>
      </c>
      <c r="E76" s="4">
        <v>2690236000</v>
      </c>
      <c r="F76" s="4">
        <v>5469345000</v>
      </c>
      <c r="G76" s="5">
        <v>5292482000</v>
      </c>
      <c r="H76" s="4">
        <v>2642761000</v>
      </c>
      <c r="I76" s="4">
        <v>5469345000</v>
      </c>
      <c r="J76" s="4">
        <v>5391371000</v>
      </c>
      <c r="K76" s="4">
        <v>5292482000</v>
      </c>
    </row>
    <row r="77" spans="1:11" ht="16" x14ac:dyDescent="0.2">
      <c r="A77" s="3" t="s">
        <v>78</v>
      </c>
      <c r="B77" s="4">
        <v>67866000</v>
      </c>
      <c r="C77" s="4">
        <v>78976000</v>
      </c>
      <c r="D77" s="4">
        <v>128695000</v>
      </c>
      <c r="E77" s="4">
        <v>106698000</v>
      </c>
      <c r="F77" s="4">
        <v>121863000</v>
      </c>
      <c r="G77" s="5">
        <v>135387000</v>
      </c>
      <c r="H77" s="4">
        <v>112458000</v>
      </c>
      <c r="I77" s="4">
        <v>121863000</v>
      </c>
      <c r="J77" s="4">
        <v>129050000</v>
      </c>
      <c r="K77" s="4">
        <v>135387000</v>
      </c>
    </row>
    <row r="78" spans="1:11" ht="16" x14ac:dyDescent="0.2">
      <c r="A78" s="3" t="s">
        <v>79</v>
      </c>
      <c r="B78" s="4">
        <v>99593000</v>
      </c>
      <c r="C78" s="4">
        <v>127261000</v>
      </c>
      <c r="D78" s="4">
        <v>199153000</v>
      </c>
      <c r="E78" s="4">
        <v>204499000</v>
      </c>
      <c r="F78" s="4">
        <v>245487000</v>
      </c>
      <c r="G78" s="5">
        <v>135387000</v>
      </c>
      <c r="H78" s="4">
        <v>112458000</v>
      </c>
      <c r="I78" s="4">
        <v>245487000</v>
      </c>
      <c r="J78" s="4">
        <v>129050000</v>
      </c>
      <c r="K78" s="4">
        <v>135387000</v>
      </c>
    </row>
    <row r="79" spans="1:11" ht="16" x14ac:dyDescent="0.2">
      <c r="A79" s="3" t="s">
        <v>80</v>
      </c>
      <c r="B79" s="4">
        <v>31727000</v>
      </c>
      <c r="C79" s="4">
        <v>48285000</v>
      </c>
      <c r="D79" s="4">
        <v>70458000</v>
      </c>
      <c r="E79" s="4">
        <v>97801000</v>
      </c>
      <c r="F79" s="4">
        <v>123624000</v>
      </c>
      <c r="G79" s="5" t="s">
        <v>16</v>
      </c>
      <c r="H79" s="4" t="s">
        <v>16</v>
      </c>
      <c r="I79" s="4">
        <v>123624000</v>
      </c>
      <c r="J79" s="4" t="s">
        <v>16</v>
      </c>
      <c r="K79" s="4" t="s">
        <v>16</v>
      </c>
    </row>
    <row r="80" spans="1:11" ht="16" x14ac:dyDescent="0.2">
      <c r="A80" s="3" t="s">
        <v>81</v>
      </c>
      <c r="B80" s="4" t="s">
        <v>16</v>
      </c>
      <c r="C80" s="4" t="s">
        <v>16</v>
      </c>
      <c r="D80" s="4" t="s">
        <v>16</v>
      </c>
      <c r="E80" s="4" t="s">
        <v>16</v>
      </c>
      <c r="F80" s="4" t="s">
        <v>16</v>
      </c>
      <c r="G80" s="5" t="s">
        <v>16</v>
      </c>
      <c r="H80" s="4" t="s">
        <v>16</v>
      </c>
      <c r="I80" s="4" t="s">
        <v>16</v>
      </c>
      <c r="J80" s="4" t="s">
        <v>16</v>
      </c>
      <c r="K80" s="4" t="s">
        <v>16</v>
      </c>
    </row>
    <row r="81" spans="1:11" ht="16" x14ac:dyDescent="0.2">
      <c r="A81" s="3" t="s">
        <v>82</v>
      </c>
      <c r="B81" s="4" t="s">
        <v>16</v>
      </c>
      <c r="C81" s="4" t="s">
        <v>16</v>
      </c>
      <c r="D81" s="4" t="s">
        <v>16</v>
      </c>
      <c r="E81" s="4" t="s">
        <v>16</v>
      </c>
      <c r="F81" s="4" t="s">
        <v>16</v>
      </c>
      <c r="G81" s="5" t="s">
        <v>16</v>
      </c>
      <c r="H81" s="4" t="s">
        <v>16</v>
      </c>
      <c r="I81" s="4" t="s">
        <v>16</v>
      </c>
      <c r="J81" s="4" t="s">
        <v>16</v>
      </c>
      <c r="K81" s="4" t="s">
        <v>16</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82809000</v>
      </c>
      <c r="C83" s="4">
        <v>316467000</v>
      </c>
      <c r="D83" s="4">
        <v>461870000</v>
      </c>
      <c r="E83" s="4">
        <v>2583538000</v>
      </c>
      <c r="F83" s="4">
        <v>5347482000</v>
      </c>
      <c r="G83" s="5">
        <v>5157095000</v>
      </c>
      <c r="H83" s="4">
        <v>2530303000</v>
      </c>
      <c r="I83" s="4">
        <v>5347482000</v>
      </c>
      <c r="J83" s="4">
        <v>5262321000</v>
      </c>
      <c r="K83" s="4">
        <v>5157095000</v>
      </c>
    </row>
    <row r="84" spans="1:11" ht="16" x14ac:dyDescent="0.2">
      <c r="A84" s="3" t="s">
        <v>85</v>
      </c>
      <c r="B84" s="4">
        <v>54511000</v>
      </c>
      <c r="C84" s="4">
        <v>280339000</v>
      </c>
      <c r="D84" s="4">
        <v>343710000</v>
      </c>
      <c r="E84" s="4">
        <v>2434513000</v>
      </c>
      <c r="F84" s="4">
        <v>5123189000</v>
      </c>
      <c r="G84" s="5">
        <v>4926393000</v>
      </c>
      <c r="H84" s="4">
        <v>2382789000</v>
      </c>
      <c r="I84" s="4">
        <v>5123189000</v>
      </c>
      <c r="J84" s="4">
        <v>5025268000</v>
      </c>
      <c r="K84" s="4">
        <v>4926393000</v>
      </c>
    </row>
    <row r="85" spans="1:11" ht="16" x14ac:dyDescent="0.2">
      <c r="A85" s="3" t="s">
        <v>86</v>
      </c>
      <c r="B85" s="4">
        <v>45407000</v>
      </c>
      <c r="C85" s="4">
        <v>218305000</v>
      </c>
      <c r="D85" s="4">
        <v>286251000</v>
      </c>
      <c r="E85" s="4">
        <v>1620127000</v>
      </c>
      <c r="F85" s="4">
        <v>3200955000</v>
      </c>
      <c r="G85" s="5">
        <v>3200955000</v>
      </c>
      <c r="H85" s="4">
        <v>1657863000</v>
      </c>
      <c r="I85" s="4">
        <v>3200955000</v>
      </c>
      <c r="J85" s="4">
        <v>3200955000</v>
      </c>
      <c r="K85" s="4">
        <v>3200955000</v>
      </c>
    </row>
    <row r="86" spans="1:11" ht="16" x14ac:dyDescent="0.2">
      <c r="A86" s="3" t="s">
        <v>87</v>
      </c>
      <c r="B86" s="4">
        <v>9104000</v>
      </c>
      <c r="C86" s="4">
        <v>62034000</v>
      </c>
      <c r="D86" s="4">
        <v>57459000</v>
      </c>
      <c r="E86" s="4">
        <v>814386000</v>
      </c>
      <c r="F86" s="4">
        <v>1922234000</v>
      </c>
      <c r="G86" s="5">
        <v>1725438000</v>
      </c>
      <c r="H86" s="4">
        <v>724926000</v>
      </c>
      <c r="I86" s="4">
        <v>1922234000</v>
      </c>
      <c r="J86" s="4">
        <v>1824313000</v>
      </c>
      <c r="K86" s="4">
        <v>1725438000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28298000</v>
      </c>
      <c r="C89" s="4">
        <v>36128000</v>
      </c>
      <c r="D89" s="4">
        <v>118160000</v>
      </c>
      <c r="E89" s="4">
        <v>149025000</v>
      </c>
      <c r="F89" s="4">
        <v>224293000</v>
      </c>
      <c r="G89" s="5">
        <v>230702000</v>
      </c>
      <c r="H89" s="4">
        <v>147514000</v>
      </c>
      <c r="I89" s="4">
        <v>224293000</v>
      </c>
      <c r="J89" s="4">
        <v>237053000</v>
      </c>
      <c r="K89" s="4">
        <v>230702000</v>
      </c>
    </row>
    <row r="90" spans="1:11" ht="16" x14ac:dyDescent="0.2">
      <c r="A90" s="3" t="s">
        <v>91</v>
      </c>
      <c r="B90" s="4">
        <v>589301000</v>
      </c>
      <c r="C90" s="4">
        <v>762860000</v>
      </c>
      <c r="D90" s="4">
        <v>2671225000</v>
      </c>
      <c r="E90" s="4">
        <v>4841346000</v>
      </c>
      <c r="F90" s="4">
        <v>7833985000</v>
      </c>
      <c r="G90" s="5">
        <v>7686846000</v>
      </c>
      <c r="H90" s="4">
        <v>4727161000</v>
      </c>
      <c r="I90" s="4">
        <v>7833985000</v>
      </c>
      <c r="J90" s="4">
        <v>7734733000</v>
      </c>
      <c r="K90" s="4">
        <v>7686846000</v>
      </c>
    </row>
    <row r="91" spans="1:11" ht="16" x14ac:dyDescent="0.2">
      <c r="A91" s="3" t="s">
        <v>92</v>
      </c>
      <c r="B91" s="4">
        <v>175122000</v>
      </c>
      <c r="C91" s="4">
        <v>220302000</v>
      </c>
      <c r="D91" s="4">
        <v>363994000</v>
      </c>
      <c r="E91" s="4">
        <v>461278000</v>
      </c>
      <c r="F91" s="4">
        <v>792182000</v>
      </c>
      <c r="G91" s="5">
        <v>619262000</v>
      </c>
      <c r="H91" s="4">
        <v>408759000</v>
      </c>
      <c r="I91" s="4">
        <v>792182000</v>
      </c>
      <c r="J91" s="4">
        <v>630048000</v>
      </c>
      <c r="K91" s="4">
        <v>619262000</v>
      </c>
    </row>
    <row r="92" spans="1:11" ht="16" x14ac:dyDescent="0.2">
      <c r="A92" s="3" t="s">
        <v>93</v>
      </c>
      <c r="B92" s="4">
        <v>9336000</v>
      </c>
      <c r="C92" s="4">
        <v>10706000</v>
      </c>
      <c r="D92" s="4">
        <v>11303000</v>
      </c>
      <c r="E92" s="4">
        <v>14009000</v>
      </c>
      <c r="F92" s="4">
        <v>20221000</v>
      </c>
      <c r="G92" s="5">
        <v>18580000</v>
      </c>
      <c r="H92" s="4">
        <v>14182000</v>
      </c>
      <c r="I92" s="4">
        <v>20221000</v>
      </c>
      <c r="J92" s="4">
        <v>28222000</v>
      </c>
      <c r="K92" s="4">
        <v>18580000</v>
      </c>
    </row>
    <row r="93" spans="1:11" ht="16" x14ac:dyDescent="0.2">
      <c r="A93" s="3" t="s">
        <v>94</v>
      </c>
      <c r="B93" s="4">
        <v>22558000</v>
      </c>
      <c r="C93" s="4">
        <v>35715000</v>
      </c>
      <c r="D93" s="4">
        <v>64116000</v>
      </c>
      <c r="E93" s="4">
        <v>64759000</v>
      </c>
      <c r="F93" s="4" t="s">
        <v>16</v>
      </c>
      <c r="G93" s="5" t="s">
        <v>16</v>
      </c>
      <c r="H93" s="4" t="s">
        <v>16</v>
      </c>
      <c r="I93" s="4" t="s">
        <v>16</v>
      </c>
      <c r="J93" s="4" t="s">
        <v>16</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143228000</v>
      </c>
      <c r="C95" s="4">
        <v>173881000</v>
      </c>
      <c r="D95" s="4">
        <v>288575000</v>
      </c>
      <c r="E95" s="4">
        <v>382510000</v>
      </c>
      <c r="F95" s="4">
        <v>771961000</v>
      </c>
      <c r="G95" s="5">
        <v>600682000</v>
      </c>
      <c r="H95" s="4">
        <v>394577000</v>
      </c>
      <c r="I95" s="4">
        <v>771961000</v>
      </c>
      <c r="J95" s="4">
        <v>601826000</v>
      </c>
      <c r="K95" s="4">
        <v>600682000</v>
      </c>
    </row>
    <row r="96" spans="1:11" ht="16" x14ac:dyDescent="0.2">
      <c r="A96" s="3" t="s">
        <v>97</v>
      </c>
      <c r="B96" s="4">
        <v>0</v>
      </c>
      <c r="C96" s="4">
        <v>0</v>
      </c>
      <c r="D96" s="4">
        <v>25375000</v>
      </c>
      <c r="E96" s="4">
        <v>23729000</v>
      </c>
      <c r="F96" s="4">
        <v>0</v>
      </c>
      <c r="G96" s="5">
        <v>140792000</v>
      </c>
      <c r="H96" s="4">
        <v>23582000</v>
      </c>
      <c r="I96" s="4">
        <v>0</v>
      </c>
      <c r="J96" s="4">
        <v>137274000</v>
      </c>
      <c r="K96" s="4">
        <v>140792000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t="s">
        <v>16</v>
      </c>
      <c r="C98" s="4" t="s">
        <v>16</v>
      </c>
      <c r="D98" s="4">
        <v>25375000</v>
      </c>
      <c r="E98" s="4">
        <v>23729000</v>
      </c>
      <c r="F98" s="4" t="s">
        <v>16</v>
      </c>
      <c r="G98" s="5">
        <v>140792000</v>
      </c>
      <c r="H98" s="4">
        <v>23582000</v>
      </c>
      <c r="I98" s="4" t="s">
        <v>16</v>
      </c>
      <c r="J98" s="4">
        <v>137274000</v>
      </c>
      <c r="K98" s="4">
        <v>140792000</v>
      </c>
    </row>
    <row r="99" spans="1:11" ht="16" x14ac:dyDescent="0.2">
      <c r="A99" s="3" t="s">
        <v>100</v>
      </c>
      <c r="B99" s="4">
        <v>78614000</v>
      </c>
      <c r="C99" s="4">
        <v>116226000</v>
      </c>
      <c r="D99" s="4">
        <v>113853000</v>
      </c>
      <c r="E99" s="4">
        <v>140528000</v>
      </c>
      <c r="F99" s="4">
        <v>218102000</v>
      </c>
      <c r="G99" s="5">
        <v>215012000</v>
      </c>
      <c r="H99" s="4">
        <v>179402000</v>
      </c>
      <c r="I99" s="4">
        <v>218102000</v>
      </c>
      <c r="J99" s="4">
        <v>212925000</v>
      </c>
      <c r="K99" s="4">
        <v>215012000</v>
      </c>
    </row>
    <row r="100" spans="1:11" ht="16" x14ac:dyDescent="0.2">
      <c r="A100" s="3" t="s">
        <v>101</v>
      </c>
      <c r="B100" s="4">
        <v>54967000</v>
      </c>
      <c r="C100" s="4">
        <v>85980000</v>
      </c>
      <c r="D100" s="4">
        <v>113853000</v>
      </c>
      <c r="E100" s="4">
        <v>140528000</v>
      </c>
      <c r="F100" s="4">
        <v>218102000</v>
      </c>
      <c r="G100" s="5">
        <v>215012000</v>
      </c>
      <c r="H100" s="4">
        <v>202984000</v>
      </c>
      <c r="I100" s="4">
        <v>218102000</v>
      </c>
      <c r="J100" s="4">
        <v>212925000</v>
      </c>
      <c r="K100" s="4">
        <v>215012000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23647000</v>
      </c>
      <c r="C103" s="4">
        <v>30246000</v>
      </c>
      <c r="D103" s="4" t="s">
        <v>16</v>
      </c>
      <c r="E103" s="4" t="s">
        <v>16</v>
      </c>
      <c r="F103" s="4" t="s">
        <v>16</v>
      </c>
      <c r="G103" s="5" t="s">
        <v>16</v>
      </c>
      <c r="H103" s="4">
        <v>-23582000</v>
      </c>
      <c r="I103" s="4" t="s">
        <v>16</v>
      </c>
      <c r="J103" s="4" t="s">
        <v>16</v>
      </c>
      <c r="K103" s="4" t="s">
        <v>16</v>
      </c>
    </row>
    <row r="104" spans="1:11" ht="16" x14ac:dyDescent="0.2">
      <c r="A104" s="3" t="s">
        <v>105</v>
      </c>
      <c r="B104" s="4">
        <v>253736000</v>
      </c>
      <c r="C104" s="4">
        <v>336528000</v>
      </c>
      <c r="D104" s="4">
        <v>503222000</v>
      </c>
      <c r="E104" s="4">
        <v>625535000</v>
      </c>
      <c r="F104" s="4">
        <v>1010284000</v>
      </c>
      <c r="G104" s="5">
        <v>975066000</v>
      </c>
      <c r="H104" s="4">
        <v>611743000</v>
      </c>
      <c r="I104" s="4">
        <v>1010284000</v>
      </c>
      <c r="J104" s="4">
        <v>980247000</v>
      </c>
      <c r="K104" s="4">
        <v>975066000</v>
      </c>
    </row>
    <row r="105" spans="1:11" ht="16" x14ac:dyDescent="0.2">
      <c r="A105" s="3" t="s">
        <v>106</v>
      </c>
      <c r="B105" s="4">
        <v>0</v>
      </c>
      <c r="C105" s="4">
        <v>0</v>
      </c>
      <c r="D105" s="4">
        <v>98532000</v>
      </c>
      <c r="E105" s="4">
        <v>1795574000</v>
      </c>
      <c r="F105" s="4">
        <v>2707171000</v>
      </c>
      <c r="G105" s="5">
        <v>2831944000</v>
      </c>
      <c r="H105" s="4">
        <v>1706403000</v>
      </c>
      <c r="I105" s="4">
        <v>2707171000</v>
      </c>
      <c r="J105" s="4">
        <v>2830066000</v>
      </c>
      <c r="K105" s="4">
        <v>2831944000</v>
      </c>
    </row>
    <row r="106" spans="1:11" ht="16" x14ac:dyDescent="0.2">
      <c r="A106" s="3" t="s">
        <v>107</v>
      </c>
      <c r="B106" s="4" t="s">
        <v>16</v>
      </c>
      <c r="C106" s="4" t="s">
        <v>16</v>
      </c>
      <c r="D106" s="4" t="s">
        <v>16</v>
      </c>
      <c r="E106" s="4">
        <v>1703035000</v>
      </c>
      <c r="F106" s="4">
        <v>2707171000</v>
      </c>
      <c r="G106" s="5">
        <v>2709442000</v>
      </c>
      <c r="H106" s="4">
        <v>1706403000</v>
      </c>
      <c r="I106" s="4">
        <v>2707171000</v>
      </c>
      <c r="J106" s="4">
        <v>2708300000</v>
      </c>
      <c r="K106" s="4">
        <v>2709442000</v>
      </c>
    </row>
    <row r="107" spans="1:11" ht="16" x14ac:dyDescent="0.2">
      <c r="A107" s="3" t="s">
        <v>108</v>
      </c>
      <c r="B107" s="4" t="s">
        <v>16</v>
      </c>
      <c r="C107" s="4" t="s">
        <v>16</v>
      </c>
      <c r="D107" s="4">
        <v>98532000</v>
      </c>
      <c r="E107" s="4">
        <v>92539000</v>
      </c>
      <c r="F107" s="4" t="s">
        <v>16</v>
      </c>
      <c r="G107" s="5">
        <v>122502000</v>
      </c>
      <c r="H107" s="4">
        <v>81048000</v>
      </c>
      <c r="I107" s="4" t="s">
        <v>16</v>
      </c>
      <c r="J107" s="4">
        <v>121766000</v>
      </c>
      <c r="K107" s="4">
        <v>122502000</v>
      </c>
    </row>
    <row r="108" spans="1:11" ht="16" x14ac:dyDescent="0.2">
      <c r="A108" s="3" t="s">
        <v>109</v>
      </c>
      <c r="B108" s="4">
        <v>19438000</v>
      </c>
      <c r="C108" s="4">
        <v>32421000</v>
      </c>
      <c r="D108" s="4">
        <v>32328000</v>
      </c>
      <c r="E108" s="4">
        <v>25846000</v>
      </c>
      <c r="F108" s="4">
        <v>362401000</v>
      </c>
      <c r="G108" s="5">
        <v>211961000</v>
      </c>
      <c r="H108" s="4">
        <v>206329000</v>
      </c>
      <c r="I108" s="4">
        <v>362401000</v>
      </c>
      <c r="J108" s="4">
        <v>232748000</v>
      </c>
      <c r="K108" s="4">
        <v>211961000</v>
      </c>
    </row>
    <row r="109" spans="1:11" ht="16" x14ac:dyDescent="0.2">
      <c r="A109" s="3" t="s">
        <v>110</v>
      </c>
      <c r="B109" s="4">
        <v>10542000</v>
      </c>
      <c r="C109" s="4">
        <v>10596000</v>
      </c>
      <c r="D109" s="4">
        <v>20523000</v>
      </c>
      <c r="E109" s="4">
        <v>15945000</v>
      </c>
      <c r="F109" s="4">
        <v>103442000</v>
      </c>
      <c r="G109" s="5">
        <v>78859000</v>
      </c>
      <c r="H109" s="4">
        <v>118170000</v>
      </c>
      <c r="I109" s="4">
        <v>103442000</v>
      </c>
      <c r="J109" s="4">
        <v>90407000</v>
      </c>
      <c r="K109" s="4">
        <v>78859000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8896000</v>
      </c>
      <c r="C114" s="4">
        <v>21825000</v>
      </c>
      <c r="D114" s="4">
        <v>11805000</v>
      </c>
      <c r="E114" s="4">
        <v>9901000</v>
      </c>
      <c r="F114" s="4">
        <v>258959000</v>
      </c>
      <c r="G114" s="5">
        <v>133102000</v>
      </c>
      <c r="H114" s="4">
        <v>88159000</v>
      </c>
      <c r="I114" s="4">
        <v>258959000</v>
      </c>
      <c r="J114" s="4">
        <v>142341000</v>
      </c>
      <c r="K114" s="4">
        <v>133102000</v>
      </c>
    </row>
    <row r="115" spans="1:11" ht="16" x14ac:dyDescent="0.2">
      <c r="A115" s="3" t="s">
        <v>113</v>
      </c>
      <c r="B115" s="4">
        <v>19438000</v>
      </c>
      <c r="C115" s="4">
        <v>32421000</v>
      </c>
      <c r="D115" s="4">
        <v>130860000</v>
      </c>
      <c r="E115" s="4">
        <v>1821420000</v>
      </c>
      <c r="F115" s="4">
        <v>3069572000</v>
      </c>
      <c r="G115" s="5">
        <v>3043905000</v>
      </c>
      <c r="H115" s="4">
        <v>1912732000</v>
      </c>
      <c r="I115" s="4">
        <v>3069572000</v>
      </c>
      <c r="J115" s="4">
        <v>3062814000</v>
      </c>
      <c r="K115" s="4">
        <v>3043905000</v>
      </c>
    </row>
    <row r="116" spans="1:11" ht="16" x14ac:dyDescent="0.2">
      <c r="A116" s="3" t="s">
        <v>114</v>
      </c>
      <c r="B116" s="4">
        <v>273174000</v>
      </c>
      <c r="C116" s="4">
        <v>368949000</v>
      </c>
      <c r="D116" s="4">
        <v>634082000</v>
      </c>
      <c r="E116" s="4">
        <v>2446955000</v>
      </c>
      <c r="F116" s="4">
        <v>4079856000</v>
      </c>
      <c r="G116" s="5">
        <v>4018971000</v>
      </c>
      <c r="H116" s="4">
        <v>2524475000</v>
      </c>
      <c r="I116" s="4">
        <v>4079856000</v>
      </c>
      <c r="J116" s="4">
        <v>4043061000</v>
      </c>
      <c r="K116" s="4">
        <v>4018971000</v>
      </c>
    </row>
    <row r="117" spans="1:11" ht="16" x14ac:dyDescent="0.2">
      <c r="A117" s="3" t="s">
        <v>115</v>
      </c>
      <c r="B117" s="4">
        <v>600114000</v>
      </c>
      <c r="C117" s="4">
        <v>686559000</v>
      </c>
      <c r="D117" s="4" t="s">
        <v>16</v>
      </c>
      <c r="E117" s="4" t="s">
        <v>16</v>
      </c>
      <c r="F117" s="4" t="s">
        <v>16</v>
      </c>
      <c r="G117" s="5" t="s">
        <v>16</v>
      </c>
      <c r="H117" s="4" t="s">
        <v>16</v>
      </c>
      <c r="I117" s="4" t="s">
        <v>16</v>
      </c>
      <c r="J117" s="4" t="s">
        <v>16</v>
      </c>
      <c r="K117" s="4" t="s">
        <v>16</v>
      </c>
    </row>
    <row r="118" spans="1:11" ht="16" x14ac:dyDescent="0.2">
      <c r="A118" s="3" t="s">
        <v>116</v>
      </c>
      <c r="B118" s="4">
        <v>173215000</v>
      </c>
      <c r="C118" s="4">
        <v>226174000</v>
      </c>
      <c r="D118" s="4">
        <v>2838059000</v>
      </c>
      <c r="E118" s="4">
        <v>3729876000</v>
      </c>
      <c r="F118" s="4">
        <v>5779778000</v>
      </c>
      <c r="G118" s="5">
        <v>6149633000</v>
      </c>
      <c r="H118" s="4">
        <v>4179623000</v>
      </c>
      <c r="I118" s="4">
        <v>5779778000</v>
      </c>
      <c r="J118" s="4">
        <v>5962360000</v>
      </c>
      <c r="K118" s="4">
        <v>6149633000</v>
      </c>
    </row>
    <row r="119" spans="1:11" ht="16" x14ac:dyDescent="0.2">
      <c r="A119" s="3" t="s">
        <v>117</v>
      </c>
      <c r="B119" s="4">
        <v>1000</v>
      </c>
      <c r="C119" s="4">
        <v>1000</v>
      </c>
      <c r="D119" s="4">
        <v>2000</v>
      </c>
      <c r="E119" s="4">
        <v>2000</v>
      </c>
      <c r="F119" s="4">
        <v>2000</v>
      </c>
      <c r="G119" s="5">
        <v>2000</v>
      </c>
      <c r="H119" s="4">
        <v>2000</v>
      </c>
      <c r="I119" s="4">
        <v>2000</v>
      </c>
      <c r="J119" s="4">
        <v>2000</v>
      </c>
      <c r="K119" s="4">
        <v>2000</v>
      </c>
    </row>
    <row r="120" spans="1:11" ht="16" x14ac:dyDescent="0.2">
      <c r="A120" s="3" t="s">
        <v>118</v>
      </c>
      <c r="B120" s="4">
        <v>173214000</v>
      </c>
      <c r="C120" s="4">
        <v>226173000</v>
      </c>
      <c r="D120" s="4">
        <v>2838057000</v>
      </c>
      <c r="E120" s="4">
        <v>3729874000</v>
      </c>
      <c r="F120" s="4">
        <v>5779776000</v>
      </c>
      <c r="G120" s="5">
        <v>6149631000</v>
      </c>
      <c r="H120" s="4">
        <v>4179621000</v>
      </c>
      <c r="I120" s="4">
        <v>5779776000</v>
      </c>
      <c r="J120" s="4">
        <v>5962358000</v>
      </c>
      <c r="K120" s="4">
        <v>6149631000</v>
      </c>
    </row>
    <row r="121" spans="1:11" ht="16" x14ac:dyDescent="0.2">
      <c r="A121" s="3" t="s">
        <v>119</v>
      </c>
      <c r="B121" s="4">
        <v>101725000</v>
      </c>
      <c r="C121" s="4" t="s">
        <v>16</v>
      </c>
      <c r="D121" s="4" t="s">
        <v>16</v>
      </c>
      <c r="E121" s="4" t="s">
        <v>16</v>
      </c>
      <c r="F121" s="4" t="s">
        <v>16</v>
      </c>
      <c r="G121" s="5" t="s">
        <v>16</v>
      </c>
      <c r="H121" s="4" t="s">
        <v>16</v>
      </c>
      <c r="I121" s="4" t="s">
        <v>16</v>
      </c>
      <c r="J121" s="4" t="s">
        <v>16</v>
      </c>
      <c r="K121" s="4" t="s">
        <v>16</v>
      </c>
    </row>
    <row r="122" spans="1:11" ht="16" x14ac:dyDescent="0.2">
      <c r="A122" s="3" t="s">
        <v>120</v>
      </c>
      <c r="B122" s="4">
        <v>-352000000</v>
      </c>
      <c r="C122" s="4">
        <v>-515190000</v>
      </c>
      <c r="D122" s="4">
        <v>-797498000</v>
      </c>
      <c r="E122" s="4">
        <v>-1331627000</v>
      </c>
      <c r="F122" s="4">
        <v>-2249819000</v>
      </c>
      <c r="G122" s="5">
        <v>-2695010000</v>
      </c>
      <c r="H122" s="4">
        <v>-1963361000</v>
      </c>
      <c r="I122" s="4">
        <v>-2249819000</v>
      </c>
      <c r="J122" s="4">
        <v>-2502850000</v>
      </c>
      <c r="K122" s="4">
        <v>-2695010000</v>
      </c>
    </row>
    <row r="123" spans="1:11" ht="16" x14ac:dyDescent="0.2">
      <c r="A123" s="3" t="s">
        <v>121</v>
      </c>
      <c r="B123" s="4">
        <v>-3477000</v>
      </c>
      <c r="C123" s="4">
        <v>-3632000</v>
      </c>
      <c r="D123" s="4">
        <v>-3418000</v>
      </c>
      <c r="E123" s="4">
        <v>-3858000</v>
      </c>
      <c r="F123" s="4">
        <v>-1691000</v>
      </c>
      <c r="G123" s="5">
        <v>-8543000</v>
      </c>
      <c r="H123" s="4">
        <v>-13576000</v>
      </c>
      <c r="I123" s="4">
        <v>-1691000</v>
      </c>
      <c r="J123" s="4">
        <v>490000</v>
      </c>
      <c r="K123" s="4">
        <v>-8543000</v>
      </c>
    </row>
    <row r="124" spans="1:11" ht="16" x14ac:dyDescent="0.2">
      <c r="A124" s="3" t="s">
        <v>122</v>
      </c>
      <c r="B124" s="4">
        <v>316127000</v>
      </c>
      <c r="C124" s="4">
        <v>393911000</v>
      </c>
      <c r="D124" s="4">
        <v>2037143000</v>
      </c>
      <c r="E124" s="4">
        <v>2394391000</v>
      </c>
      <c r="F124" s="4">
        <v>3528268000</v>
      </c>
      <c r="G124" s="5">
        <v>3446080000</v>
      </c>
      <c r="H124" s="4">
        <v>2202686000</v>
      </c>
      <c r="I124" s="4">
        <v>3528268000</v>
      </c>
      <c r="J124" s="4">
        <v>3460000000</v>
      </c>
      <c r="K124" s="4">
        <v>3446080000</v>
      </c>
    </row>
    <row r="125" spans="1:11" ht="16" x14ac:dyDescent="0.2">
      <c r="A125" s="3" t="s">
        <v>123</v>
      </c>
      <c r="B125" s="4" t="s">
        <v>16</v>
      </c>
      <c r="C125" s="4" t="s">
        <v>16</v>
      </c>
      <c r="D125" s="4" t="s">
        <v>16</v>
      </c>
      <c r="E125" s="4" t="s">
        <v>16</v>
      </c>
      <c r="F125" s="4">
        <v>225861000</v>
      </c>
      <c r="G125" s="5">
        <v>221795000</v>
      </c>
      <c r="H125" s="4" t="s">
        <v>16</v>
      </c>
      <c r="I125" s="4">
        <v>225861000</v>
      </c>
      <c r="J125" s="4">
        <v>231672000</v>
      </c>
      <c r="K125" s="4">
        <v>221795000</v>
      </c>
    </row>
    <row r="126" spans="1:11" ht="16" x14ac:dyDescent="0.2">
      <c r="A126" s="3" t="s">
        <v>124</v>
      </c>
      <c r="B126" s="4">
        <v>316127000</v>
      </c>
      <c r="C126" s="4">
        <v>393911000</v>
      </c>
      <c r="D126" s="4">
        <v>2037143000</v>
      </c>
      <c r="E126" s="4">
        <v>2394391000</v>
      </c>
      <c r="F126" s="4">
        <v>3754129000</v>
      </c>
      <c r="G126" s="5">
        <v>3667875000</v>
      </c>
      <c r="H126" s="4">
        <v>2202686000</v>
      </c>
      <c r="I126" s="4">
        <v>3754129000</v>
      </c>
      <c r="J126" s="4">
        <v>3691672000</v>
      </c>
      <c r="K126" s="4">
        <v>3667875000</v>
      </c>
    </row>
    <row r="127" spans="1:11" ht="16" x14ac:dyDescent="0.2">
      <c r="A127" s="3" t="s">
        <v>125</v>
      </c>
      <c r="B127" s="4">
        <v>589301000</v>
      </c>
      <c r="C127" s="4">
        <v>762860000</v>
      </c>
      <c r="D127" s="4">
        <v>2671225000</v>
      </c>
      <c r="E127" s="4">
        <v>4841346000</v>
      </c>
      <c r="F127" s="4">
        <v>7833985000</v>
      </c>
      <c r="G127" s="5">
        <v>7686846000</v>
      </c>
      <c r="H127" s="4">
        <v>4727161000</v>
      </c>
      <c r="I127" s="4">
        <v>7833985000</v>
      </c>
      <c r="J127" s="4">
        <v>7734733000</v>
      </c>
      <c r="K127" s="4">
        <v>7686846000</v>
      </c>
    </row>
    <row r="128" spans="1:11" ht="16" x14ac:dyDescent="0.2">
      <c r="A128" s="31" t="s">
        <v>126</v>
      </c>
      <c r="B128" s="29">
        <v>228210000</v>
      </c>
      <c r="C128" s="29">
        <v>228210000</v>
      </c>
      <c r="D128" s="29">
        <v>273537000</v>
      </c>
      <c r="E128" s="29">
        <v>292592000</v>
      </c>
      <c r="F128" s="29">
        <v>374243000</v>
      </c>
      <c r="G128" s="30">
        <v>383291000</v>
      </c>
      <c r="H128" s="29">
        <v>300588000</v>
      </c>
      <c r="I128" s="29">
        <v>374243000</v>
      </c>
      <c r="J128" s="29">
        <v>378374000</v>
      </c>
      <c r="K128" s="29">
        <v>383291000</v>
      </c>
    </row>
    <row r="129" spans="1:11" ht="16" x14ac:dyDescent="0.2">
      <c r="A129" s="16" t="s">
        <v>189</v>
      </c>
      <c r="B129" s="17"/>
      <c r="C129" s="22">
        <f>(C128/B128)-1</f>
        <v>0</v>
      </c>
      <c r="D129" s="22">
        <f>(D128/C128)-1</f>
        <v>0.19861969238858945</v>
      </c>
      <c r="E129" s="22">
        <f>(E128/D128)-1</f>
        <v>6.9661508315145726E-2</v>
      </c>
      <c r="F129" s="22">
        <f t="shared" ref="F129:K129" si="6">(F128/E128)-1</f>
        <v>0.27906094493355926</v>
      </c>
      <c r="G129" s="22">
        <f t="shared" si="6"/>
        <v>2.4176804910178706E-2</v>
      </c>
      <c r="H129" s="22">
        <f t="shared" si="6"/>
        <v>-0.21577078512148729</v>
      </c>
      <c r="I129" s="22">
        <f t="shared" si="6"/>
        <v>0.2450363953318162</v>
      </c>
      <c r="J129" s="22">
        <f t="shared" si="6"/>
        <v>1.1038282613168526E-2</v>
      </c>
      <c r="K129" s="22">
        <f t="shared" si="6"/>
        <v>1.2995078943056404E-2</v>
      </c>
    </row>
    <row r="130" spans="1:11" ht="16" x14ac:dyDescent="0.2">
      <c r="A130" s="3" t="s">
        <v>127</v>
      </c>
      <c r="B130" s="4" t="s">
        <v>16</v>
      </c>
      <c r="C130" s="4" t="s">
        <v>16</v>
      </c>
      <c r="D130" s="4">
        <v>123907000</v>
      </c>
      <c r="E130" s="4">
        <v>116268000</v>
      </c>
      <c r="F130" s="4" t="s">
        <v>16</v>
      </c>
      <c r="G130" s="5">
        <v>263294000</v>
      </c>
      <c r="H130" s="4">
        <v>104630000</v>
      </c>
      <c r="I130" s="4" t="s">
        <v>16</v>
      </c>
      <c r="J130" s="4">
        <v>259040000</v>
      </c>
      <c r="K130" s="4">
        <v>263294000</v>
      </c>
    </row>
    <row r="131" spans="1:11" ht="16" x14ac:dyDescent="0.2">
      <c r="A131" s="3" t="s">
        <v>128</v>
      </c>
      <c r="B131" s="4">
        <v>-258731000</v>
      </c>
      <c r="C131" s="4">
        <v>-129959000</v>
      </c>
      <c r="D131" s="4">
        <v>-1272578000</v>
      </c>
      <c r="E131" s="4">
        <v>647259000</v>
      </c>
      <c r="F131" s="4">
        <v>1222087000</v>
      </c>
      <c r="G131" s="5">
        <v>1068516000</v>
      </c>
      <c r="H131" s="4">
        <v>467066000</v>
      </c>
      <c r="I131" s="4">
        <v>1222087000</v>
      </c>
      <c r="J131" s="4">
        <v>1114354000</v>
      </c>
      <c r="K131" s="4">
        <v>1068516000</v>
      </c>
    </row>
    <row r="132" spans="1:11" ht="16" x14ac:dyDescent="0.2">
      <c r="A132" s="3" t="s">
        <v>129</v>
      </c>
      <c r="B132" s="6">
        <v>-81.84</v>
      </c>
      <c r="C132" s="6">
        <v>-32.99</v>
      </c>
      <c r="D132" s="6">
        <v>-62.47</v>
      </c>
      <c r="E132" s="6">
        <v>27.03</v>
      </c>
      <c r="F132" s="6">
        <v>32.549999999999997</v>
      </c>
      <c r="G132" s="7">
        <v>29.13</v>
      </c>
      <c r="H132" s="6">
        <v>21.2</v>
      </c>
      <c r="I132" s="6">
        <v>32.549999999999997</v>
      </c>
      <c r="J132" s="6">
        <v>30.19</v>
      </c>
      <c r="K132" s="6">
        <v>29.13</v>
      </c>
    </row>
    <row r="133" spans="1:11" ht="16" x14ac:dyDescent="0.2">
      <c r="A133" s="3" t="s">
        <v>130</v>
      </c>
      <c r="B133" s="6">
        <v>-63.3</v>
      </c>
      <c r="C133" s="6">
        <v>-118.75</v>
      </c>
      <c r="D133" s="6">
        <v>72.760000000000005</v>
      </c>
      <c r="E133" s="6">
        <v>-1.67</v>
      </c>
      <c r="F133" s="6">
        <v>-50.5</v>
      </c>
      <c r="G133" s="7">
        <v>-45.59</v>
      </c>
      <c r="H133" s="6">
        <v>-7.68</v>
      </c>
      <c r="I133" s="6">
        <v>-50.5</v>
      </c>
      <c r="J133" s="6">
        <v>-49.22</v>
      </c>
      <c r="K133" s="6">
        <v>-45.59</v>
      </c>
    </row>
    <row r="134" spans="1:11" ht="16" x14ac:dyDescent="0.2">
      <c r="A134" s="3" t="s">
        <v>131</v>
      </c>
      <c r="B134" s="6">
        <v>1.73</v>
      </c>
      <c r="C134" s="6">
        <v>1.0900000000000001</v>
      </c>
      <c r="D134" s="6">
        <v>4.13</v>
      </c>
      <c r="E134" s="6">
        <v>3.44</v>
      </c>
      <c r="F134" s="6">
        <v>2.34</v>
      </c>
      <c r="G134" s="7">
        <v>2.46</v>
      </c>
      <c r="H134" s="6">
        <v>3.41</v>
      </c>
      <c r="I134" s="6">
        <v>2.34</v>
      </c>
      <c r="J134" s="6">
        <v>2.39</v>
      </c>
      <c r="K134" s="6">
        <v>2.46</v>
      </c>
    </row>
    <row r="135" spans="1:11" ht="16" x14ac:dyDescent="0.2">
      <c r="A135" s="3" t="s">
        <v>132</v>
      </c>
      <c r="B135" s="4" t="s">
        <v>16</v>
      </c>
      <c r="C135" s="6">
        <v>89.54</v>
      </c>
      <c r="D135" s="6">
        <v>89.9</v>
      </c>
      <c r="E135" s="6">
        <v>82.81</v>
      </c>
      <c r="F135" s="6">
        <v>113.7</v>
      </c>
      <c r="G135" s="7">
        <v>86.72</v>
      </c>
      <c r="H135" s="6">
        <v>77.7</v>
      </c>
      <c r="I135" s="6">
        <v>113.7</v>
      </c>
      <c r="J135" s="6">
        <v>95.11</v>
      </c>
      <c r="K135" s="6">
        <v>86.72</v>
      </c>
    </row>
    <row r="136" spans="1:11" ht="16" x14ac:dyDescent="0.2">
      <c r="A136" s="3" t="s">
        <v>133</v>
      </c>
      <c r="B136" s="4" t="s">
        <v>16</v>
      </c>
      <c r="C136" s="4" t="s">
        <v>16</v>
      </c>
      <c r="D136" s="4">
        <v>4001</v>
      </c>
      <c r="E136" s="4">
        <v>5245</v>
      </c>
      <c r="F136" s="4">
        <v>7703</v>
      </c>
      <c r="G136" s="5">
        <v>7703</v>
      </c>
      <c r="H136" s="4">
        <v>5245</v>
      </c>
      <c r="I136" s="4">
        <v>7703</v>
      </c>
      <c r="J136" s="4">
        <v>7703</v>
      </c>
      <c r="K136" s="4">
        <v>7703</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-131602000</v>
      </c>
      <c r="C139" s="4">
        <v>-163190000</v>
      </c>
      <c r="D139" s="4">
        <v>-282308000</v>
      </c>
      <c r="E139" s="4">
        <v>-532607000</v>
      </c>
      <c r="F139" s="4">
        <v>-919488000</v>
      </c>
      <c r="G139" s="5">
        <v>-984802000</v>
      </c>
      <c r="H139" s="4">
        <v>-250021000</v>
      </c>
      <c r="I139" s="4">
        <v>-287754000</v>
      </c>
      <c r="J139" s="4">
        <v>-253703000</v>
      </c>
      <c r="K139" s="4">
        <v>-193324000</v>
      </c>
    </row>
    <row r="140" spans="1:11" ht="16" x14ac:dyDescent="0.2">
      <c r="A140" s="3" t="s">
        <v>135</v>
      </c>
      <c r="B140" s="4">
        <v>20518000</v>
      </c>
      <c r="C140" s="4">
        <v>31113000</v>
      </c>
      <c r="D140" s="4">
        <v>42974000</v>
      </c>
      <c r="E140" s="4">
        <v>64567000</v>
      </c>
      <c r="F140" s="4">
        <v>211576000</v>
      </c>
      <c r="G140" s="5">
        <v>348107000</v>
      </c>
      <c r="H140" s="4">
        <v>43490000</v>
      </c>
      <c r="I140" s="4">
        <v>83978000</v>
      </c>
      <c r="J140" s="4">
        <v>109560000</v>
      </c>
      <c r="K140" s="4">
        <v>111079000</v>
      </c>
    </row>
    <row r="141" spans="1:11" ht="16" x14ac:dyDescent="0.2">
      <c r="A141" s="3" t="s">
        <v>136</v>
      </c>
      <c r="B141" s="4">
        <v>21702000</v>
      </c>
      <c r="C141" s="4">
        <v>44613000</v>
      </c>
      <c r="D141" s="4">
        <v>201490000</v>
      </c>
      <c r="E141" s="4">
        <v>361002000</v>
      </c>
      <c r="F141" s="4">
        <v>571483000</v>
      </c>
      <c r="G141" s="5">
        <v>666007000</v>
      </c>
      <c r="H141" s="4">
        <v>157975000</v>
      </c>
      <c r="I141" s="4">
        <v>185949000</v>
      </c>
      <c r="J141" s="4">
        <v>163407000</v>
      </c>
      <c r="K141" s="4">
        <v>158676000</v>
      </c>
    </row>
    <row r="142" spans="1:11" ht="16" x14ac:dyDescent="0.2">
      <c r="A142" s="31" t="s">
        <v>137</v>
      </c>
      <c r="B142" s="29">
        <v>20913000</v>
      </c>
      <c r="C142" s="29">
        <v>44480000</v>
      </c>
      <c r="D142" s="29">
        <v>134629000</v>
      </c>
      <c r="E142" s="29">
        <v>347159000</v>
      </c>
      <c r="F142" s="29">
        <v>550065000</v>
      </c>
      <c r="G142" s="30">
        <v>648958000</v>
      </c>
      <c r="H142" s="29">
        <v>154479000</v>
      </c>
      <c r="I142" s="29">
        <v>173917000</v>
      </c>
      <c r="J142" s="29">
        <v>163028000</v>
      </c>
      <c r="K142" s="29">
        <v>157534000</v>
      </c>
    </row>
    <row r="143" spans="1:11" ht="16" x14ac:dyDescent="0.2">
      <c r="A143" s="12" t="s">
        <v>190</v>
      </c>
      <c r="B143" s="22">
        <f t="shared" ref="B143:K143" si="7">B142/B2</f>
        <v>5.4925083058659771E-2</v>
      </c>
      <c r="C143" s="22">
        <f t="shared" si="7"/>
        <v>8.209989682139765E-2</v>
      </c>
      <c r="D143" s="22">
        <f t="shared" si="7"/>
        <v>0.17428943161001753</v>
      </c>
      <c r="E143" s="22">
        <f t="shared" si="7"/>
        <v>0.31260771922494385</v>
      </c>
      <c r="F143" s="22">
        <f t="shared" si="7"/>
        <v>0.39543889968828722</v>
      </c>
      <c r="G143" s="22">
        <f t="shared" si="7"/>
        <v>0.35899770647023221</v>
      </c>
      <c r="H143" s="22">
        <f t="shared" si="7"/>
        <v>0.47843942505133469</v>
      </c>
      <c r="I143" s="22">
        <f t="shared" si="7"/>
        <v>0.38564750961252753</v>
      </c>
      <c r="J143" s="22">
        <f t="shared" si="7"/>
        <v>0.3258207574131477</v>
      </c>
      <c r="K143" s="22">
        <f t="shared" si="7"/>
        <v>0.29529615091906319</v>
      </c>
    </row>
    <row r="144" spans="1:11" ht="16" x14ac:dyDescent="0.2">
      <c r="A144" s="3" t="s">
        <v>138</v>
      </c>
      <c r="B144" s="4" t="s">
        <v>16</v>
      </c>
      <c r="C144" s="4" t="s">
        <v>16</v>
      </c>
      <c r="D144" s="4" t="s">
        <v>16</v>
      </c>
      <c r="E144" s="4" t="s">
        <v>16</v>
      </c>
      <c r="F144" s="4" t="s">
        <v>16</v>
      </c>
      <c r="G144" s="5" t="s">
        <v>16</v>
      </c>
      <c r="H144" s="4" t="s">
        <v>16</v>
      </c>
      <c r="I144" s="4" t="s">
        <v>16</v>
      </c>
      <c r="J144" s="4" t="s">
        <v>16</v>
      </c>
      <c r="K144" s="4" t="s">
        <v>16</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789000</v>
      </c>
      <c r="C146" s="4">
        <v>133000</v>
      </c>
      <c r="D146" s="4">
        <v>66861000</v>
      </c>
      <c r="E146" s="4">
        <v>13843000</v>
      </c>
      <c r="F146" s="4">
        <v>21418000</v>
      </c>
      <c r="G146" s="5">
        <v>17049000</v>
      </c>
      <c r="H146" s="4">
        <v>3496000</v>
      </c>
      <c r="I146" s="4">
        <v>12032000</v>
      </c>
      <c r="J146" s="4">
        <v>379000</v>
      </c>
      <c r="K146" s="4">
        <v>1142000</v>
      </c>
    </row>
    <row r="147" spans="1:11" ht="16" x14ac:dyDescent="0.2">
      <c r="A147" s="3" t="s">
        <v>141</v>
      </c>
      <c r="B147" s="4">
        <v>8323000</v>
      </c>
      <c r="C147" s="4">
        <v>19528000</v>
      </c>
      <c r="D147" s="4">
        <v>57757000</v>
      </c>
      <c r="E147" s="4">
        <v>-4411000</v>
      </c>
      <c r="F147" s="4">
        <v>76998000</v>
      </c>
      <c r="G147" s="5">
        <v>-104629000</v>
      </c>
      <c r="H147" s="4">
        <v>-20244000</v>
      </c>
      <c r="I147" s="4">
        <v>-31234000</v>
      </c>
      <c r="J147" s="4">
        <v>-24363000</v>
      </c>
      <c r="K147" s="4">
        <v>-28788000</v>
      </c>
    </row>
    <row r="148" spans="1:11" ht="16" x14ac:dyDescent="0.2">
      <c r="A148" s="3" t="s">
        <v>142</v>
      </c>
      <c r="B148" s="4">
        <v>-30974000</v>
      </c>
      <c r="C148" s="4">
        <v>-49420000</v>
      </c>
      <c r="D148" s="4">
        <v>-63294000</v>
      </c>
      <c r="E148" s="4">
        <v>-65151000</v>
      </c>
      <c r="F148" s="4">
        <v>-9548000</v>
      </c>
      <c r="G148" s="5">
        <v>-25788000</v>
      </c>
      <c r="H148" s="4">
        <v>3385000</v>
      </c>
      <c r="I148" s="4">
        <v>-30806000</v>
      </c>
      <c r="J148" s="4">
        <v>21013000</v>
      </c>
      <c r="K148" s="4">
        <v>-19380000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-670000</v>
      </c>
      <c r="C150" s="4">
        <v>-9269000</v>
      </c>
      <c r="D150" s="4">
        <v>-9131000</v>
      </c>
      <c r="E150" s="4">
        <v>-6831000</v>
      </c>
      <c r="F150" s="4">
        <v>-21719000</v>
      </c>
      <c r="G150" s="5">
        <v>9155000</v>
      </c>
      <c r="H150" s="4">
        <v>-474000</v>
      </c>
      <c r="I150" s="4">
        <v>-13220000</v>
      </c>
      <c r="J150" s="4">
        <v>7589000</v>
      </c>
      <c r="K150" s="4">
        <v>15260000</v>
      </c>
    </row>
    <row r="151" spans="1:11" ht="16" x14ac:dyDescent="0.2">
      <c r="A151" s="3" t="s">
        <v>145</v>
      </c>
      <c r="B151" s="4">
        <v>58714000</v>
      </c>
      <c r="C151" s="4">
        <v>46245000</v>
      </c>
      <c r="D151" s="4">
        <v>103222000</v>
      </c>
      <c r="E151" s="4">
        <v>90665000</v>
      </c>
      <c r="F151" s="4">
        <v>-68857000</v>
      </c>
      <c r="G151" s="5">
        <v>-48269000</v>
      </c>
      <c r="H151" s="4">
        <v>-13604000</v>
      </c>
      <c r="I151" s="4">
        <v>1803000</v>
      </c>
      <c r="J151" s="4">
        <v>-27611000</v>
      </c>
      <c r="K151" s="4">
        <v>-8857000</v>
      </c>
    </row>
    <row r="152" spans="1:11" ht="16" x14ac:dyDescent="0.2">
      <c r="A152" s="3" t="s">
        <v>146</v>
      </c>
      <c r="B152" s="4">
        <v>-18747000</v>
      </c>
      <c r="C152" s="4">
        <v>31972000</v>
      </c>
      <c r="D152" s="4">
        <v>26960000</v>
      </c>
      <c r="E152" s="4">
        <v>-23094000</v>
      </c>
      <c r="F152" s="4">
        <v>177122000</v>
      </c>
      <c r="G152" s="5">
        <v>-39727000</v>
      </c>
      <c r="H152" s="4">
        <v>-9551000</v>
      </c>
      <c r="I152" s="4">
        <v>10989000</v>
      </c>
      <c r="J152" s="4">
        <v>-25354000</v>
      </c>
      <c r="K152" s="4">
        <v>-15811000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-81059000</v>
      </c>
      <c r="C154" s="4">
        <v>-67936000</v>
      </c>
      <c r="D154" s="4">
        <v>19913000</v>
      </c>
      <c r="E154" s="4">
        <v>-111449000</v>
      </c>
      <c r="F154" s="4">
        <v>-59431000</v>
      </c>
      <c r="G154" s="5">
        <v>-75317000</v>
      </c>
      <c r="H154" s="4">
        <v>-68800000</v>
      </c>
      <c r="I154" s="4">
        <v>-49061000</v>
      </c>
      <c r="J154" s="4">
        <v>-5099000</v>
      </c>
      <c r="K154" s="4">
        <v>47643000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-38019000</v>
      </c>
      <c r="C159" s="4">
        <v>-27035000</v>
      </c>
      <c r="D159" s="4">
        <v>-40906000</v>
      </c>
      <c r="E159" s="4">
        <v>-41938000</v>
      </c>
      <c r="F159" s="4">
        <v>-57138000</v>
      </c>
      <c r="G159" s="5">
        <v>-55249000</v>
      </c>
      <c r="H159" s="4">
        <v>-11987000</v>
      </c>
      <c r="I159" s="4">
        <v>-14794000</v>
      </c>
      <c r="J159" s="4">
        <v>-14350000</v>
      </c>
      <c r="K159" s="4">
        <v>-14118000</v>
      </c>
    </row>
    <row r="160" spans="1:11" ht="16" x14ac:dyDescent="0.2">
      <c r="A160" s="3" t="s">
        <v>154</v>
      </c>
      <c r="B160" s="4">
        <v>-38019000</v>
      </c>
      <c r="C160" s="4">
        <v>-27035000</v>
      </c>
      <c r="D160" s="4">
        <v>-40156000</v>
      </c>
      <c r="E160" s="4">
        <v>-41938000</v>
      </c>
      <c r="F160" s="4">
        <v>-57138000</v>
      </c>
      <c r="G160" s="5">
        <v>-55249000</v>
      </c>
      <c r="H160" s="4">
        <v>-11987000</v>
      </c>
      <c r="I160" s="4">
        <v>-14794000</v>
      </c>
      <c r="J160" s="4">
        <v>-14350000</v>
      </c>
      <c r="K160" s="4">
        <v>-14118000</v>
      </c>
    </row>
    <row r="161" spans="1:11" ht="16" x14ac:dyDescent="0.2">
      <c r="A161" s="3" t="s">
        <v>155</v>
      </c>
      <c r="B161" s="4" t="s">
        <v>16</v>
      </c>
      <c r="C161" s="4" t="s">
        <v>16</v>
      </c>
      <c r="D161" s="4">
        <v>-750000</v>
      </c>
      <c r="E161" s="4" t="s">
        <v>16</v>
      </c>
      <c r="F161" s="4" t="s">
        <v>16</v>
      </c>
      <c r="G161" s="5" t="s">
        <v>16</v>
      </c>
      <c r="H161" s="4" t="s">
        <v>16</v>
      </c>
      <c r="I161" s="4" t="s">
        <v>16</v>
      </c>
      <c r="J161" s="4" t="s">
        <v>16</v>
      </c>
      <c r="K161" s="4" t="s">
        <v>16</v>
      </c>
    </row>
    <row r="162" spans="1:11" ht="16" x14ac:dyDescent="0.2">
      <c r="A162" s="3" t="s">
        <v>156</v>
      </c>
      <c r="B162" s="4" t="s">
        <v>16</v>
      </c>
      <c r="C162" s="4" t="s">
        <v>16</v>
      </c>
      <c r="D162" s="4">
        <v>-481809000</v>
      </c>
      <c r="E162" s="4">
        <v>-215341000</v>
      </c>
      <c r="F162" s="4">
        <v>658835000</v>
      </c>
      <c r="G162" s="5">
        <v>694358000</v>
      </c>
      <c r="H162" s="4">
        <v>143310000</v>
      </c>
      <c r="I162" s="4">
        <v>449087000</v>
      </c>
      <c r="J162" s="4">
        <v>102461000</v>
      </c>
      <c r="K162" s="4">
        <v>-500000</v>
      </c>
    </row>
    <row r="163" spans="1:11" ht="16" x14ac:dyDescent="0.2">
      <c r="A163" s="3" t="s">
        <v>157</v>
      </c>
      <c r="B163" s="4" t="s">
        <v>16</v>
      </c>
      <c r="C163" s="4" t="s">
        <v>16</v>
      </c>
      <c r="D163" s="4">
        <v>1644000</v>
      </c>
      <c r="E163" s="4">
        <v>308957000</v>
      </c>
      <c r="F163" s="4">
        <v>824746000</v>
      </c>
      <c r="G163" s="5">
        <v>695070000</v>
      </c>
      <c r="H163" s="4">
        <v>143310000</v>
      </c>
      <c r="I163" s="4">
        <v>449087000</v>
      </c>
      <c r="J163" s="4">
        <v>102673000</v>
      </c>
      <c r="K163" s="4" t="s">
        <v>16</v>
      </c>
    </row>
    <row r="164" spans="1:11" ht="16" x14ac:dyDescent="0.2">
      <c r="A164" s="3" t="s">
        <v>158</v>
      </c>
      <c r="B164" s="4" t="s">
        <v>16</v>
      </c>
      <c r="C164" s="4" t="s">
        <v>16</v>
      </c>
      <c r="D164" s="4">
        <v>-483453000</v>
      </c>
      <c r="E164" s="4">
        <v>-524298000</v>
      </c>
      <c r="F164" s="4">
        <v>-165911000</v>
      </c>
      <c r="G164" s="5">
        <v>-712000</v>
      </c>
      <c r="H164" s="4" t="s">
        <v>16</v>
      </c>
      <c r="I164" s="4" t="s">
        <v>16</v>
      </c>
      <c r="J164" s="4">
        <v>-212000</v>
      </c>
      <c r="K164" s="4">
        <v>-500000</v>
      </c>
    </row>
    <row r="165" spans="1:11" ht="16" x14ac:dyDescent="0.2">
      <c r="A165" s="3" t="s">
        <v>159</v>
      </c>
      <c r="B165" s="4">
        <v>-2024000</v>
      </c>
      <c r="C165" s="4">
        <v>-192506000</v>
      </c>
      <c r="D165" s="4">
        <v>-52475000</v>
      </c>
      <c r="E165" s="4">
        <v>-1580081000</v>
      </c>
      <c r="F165" s="4">
        <v>121531000</v>
      </c>
      <c r="G165" s="5">
        <v>147178000</v>
      </c>
      <c r="H165" s="4">
        <v>-193000</v>
      </c>
      <c r="I165" s="4">
        <v>147371000</v>
      </c>
      <c r="J165" s="4" t="s">
        <v>16</v>
      </c>
      <c r="K165" s="4" t="s">
        <v>16</v>
      </c>
    </row>
    <row r="166" spans="1:11" ht="16" x14ac:dyDescent="0.2">
      <c r="A166" s="3" t="s">
        <v>160</v>
      </c>
      <c r="B166" s="4" t="s">
        <v>16</v>
      </c>
      <c r="C166" s="4" t="s">
        <v>16</v>
      </c>
      <c r="D166" s="4" t="s">
        <v>16</v>
      </c>
      <c r="E166" s="4" t="s">
        <v>16</v>
      </c>
      <c r="F166" s="4">
        <v>121531000</v>
      </c>
      <c r="G166" s="5">
        <v>147371000</v>
      </c>
      <c r="H166" s="4" t="s">
        <v>16</v>
      </c>
      <c r="I166" s="4">
        <v>147371000</v>
      </c>
      <c r="J166" s="4" t="s">
        <v>16</v>
      </c>
      <c r="K166" s="4" t="s">
        <v>16</v>
      </c>
    </row>
    <row r="167" spans="1:11" ht="16" x14ac:dyDescent="0.2">
      <c r="A167" s="3" t="s">
        <v>161</v>
      </c>
      <c r="B167" s="4">
        <v>-2024000</v>
      </c>
      <c r="C167" s="4">
        <v>-192506000</v>
      </c>
      <c r="D167" s="4">
        <v>-52475000</v>
      </c>
      <c r="E167" s="4">
        <v>-1580081000</v>
      </c>
      <c r="F167" s="4" t="s">
        <v>16</v>
      </c>
      <c r="G167" s="5">
        <v>-193000</v>
      </c>
      <c r="H167" s="4">
        <v>-193000</v>
      </c>
      <c r="I167" s="4" t="s">
        <v>16</v>
      </c>
      <c r="J167" s="4" t="s">
        <v>16</v>
      </c>
      <c r="K167" s="4" t="s">
        <v>16</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t="s">
        <v>16</v>
      </c>
      <c r="C169" s="4" t="s">
        <v>16</v>
      </c>
      <c r="D169" s="4" t="s">
        <v>16</v>
      </c>
      <c r="E169" s="4" t="s">
        <v>16</v>
      </c>
      <c r="F169" s="4" t="s">
        <v>16</v>
      </c>
      <c r="G169" s="5" t="s">
        <v>16</v>
      </c>
      <c r="H169" s="4" t="s">
        <v>16</v>
      </c>
      <c r="I169" s="4" t="s">
        <v>16</v>
      </c>
      <c r="J169" s="4" t="s">
        <v>16</v>
      </c>
      <c r="K169" s="4" t="s">
        <v>16</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-40043000</v>
      </c>
      <c r="C171" s="4">
        <v>-219541000</v>
      </c>
      <c r="D171" s="4">
        <v>-575190000</v>
      </c>
      <c r="E171" s="4">
        <v>-1837360000</v>
      </c>
      <c r="F171" s="4">
        <v>723228000</v>
      </c>
      <c r="G171" s="5">
        <v>786287000</v>
      </c>
      <c r="H171" s="4">
        <v>131130000</v>
      </c>
      <c r="I171" s="4">
        <v>581664000</v>
      </c>
      <c r="J171" s="4">
        <v>88111000</v>
      </c>
      <c r="K171" s="4">
        <v>-14618000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t="s">
        <v>16</v>
      </c>
      <c r="E173" s="4">
        <v>1725000000</v>
      </c>
      <c r="F173" s="4">
        <v>1000000000</v>
      </c>
      <c r="G173" s="5">
        <v>1000000000</v>
      </c>
      <c r="H173" s="4" t="s">
        <v>16</v>
      </c>
      <c r="I173" s="4">
        <v>1000000000</v>
      </c>
      <c r="J173" s="4" t="s">
        <v>16</v>
      </c>
      <c r="K173" s="4" t="s">
        <v>16</v>
      </c>
    </row>
    <row r="174" spans="1:11" ht="16" x14ac:dyDescent="0.2">
      <c r="A174" s="3" t="s">
        <v>167</v>
      </c>
      <c r="B174" s="4" t="s">
        <v>16</v>
      </c>
      <c r="C174" s="4" t="s">
        <v>16</v>
      </c>
      <c r="D174" s="4">
        <v>125000000</v>
      </c>
      <c r="E174" s="4">
        <v>1725000000</v>
      </c>
      <c r="F174" s="4">
        <v>1000000000</v>
      </c>
      <c r="G174" s="5">
        <v>1000000000</v>
      </c>
      <c r="H174" s="4" t="s">
        <v>16</v>
      </c>
      <c r="I174" s="4">
        <v>1000000000</v>
      </c>
      <c r="J174" s="4" t="s">
        <v>16</v>
      </c>
      <c r="K174" s="4" t="s">
        <v>16</v>
      </c>
    </row>
    <row r="175" spans="1:11" ht="16" x14ac:dyDescent="0.2">
      <c r="A175" s="3" t="s">
        <v>168</v>
      </c>
      <c r="B175" s="4" t="s">
        <v>16</v>
      </c>
      <c r="C175" s="4" t="s">
        <v>16</v>
      </c>
      <c r="D175" s="4">
        <v>-125000000</v>
      </c>
      <c r="E175" s="4" t="s">
        <v>16</v>
      </c>
      <c r="F175" s="4" t="s">
        <v>16</v>
      </c>
      <c r="G175" s="5" t="s">
        <v>16</v>
      </c>
      <c r="H175" s="4" t="s">
        <v>16</v>
      </c>
      <c r="I175" s="4" t="s">
        <v>16</v>
      </c>
      <c r="J175" s="4" t="s">
        <v>16</v>
      </c>
      <c r="K175" s="4" t="s">
        <v>16</v>
      </c>
    </row>
    <row r="176" spans="1:11" ht="16" x14ac:dyDescent="0.2">
      <c r="A176" s="3" t="s">
        <v>169</v>
      </c>
      <c r="B176" s="4" t="s">
        <v>16</v>
      </c>
      <c r="C176" s="4">
        <v>173825000</v>
      </c>
      <c r="D176" s="4">
        <v>1517472000</v>
      </c>
      <c r="E176" s="4" t="s">
        <v>16</v>
      </c>
      <c r="F176" s="4">
        <v>-1500000000</v>
      </c>
      <c r="G176" s="5">
        <v>-1500000000</v>
      </c>
      <c r="H176" s="4" t="s">
        <v>16</v>
      </c>
      <c r="I176" s="4">
        <v>-1500000000</v>
      </c>
      <c r="J176" s="4" t="s">
        <v>16</v>
      </c>
      <c r="K176" s="4" t="s">
        <v>16</v>
      </c>
    </row>
    <row r="177" spans="1:11" ht="16" x14ac:dyDescent="0.2">
      <c r="A177" s="3" t="s">
        <v>170</v>
      </c>
      <c r="B177" s="4" t="s">
        <v>16</v>
      </c>
      <c r="C177" s="4">
        <v>460200000</v>
      </c>
      <c r="D177" s="4">
        <v>1517582000</v>
      </c>
      <c r="E177" s="4" t="s">
        <v>16</v>
      </c>
      <c r="F177" s="4" t="s">
        <v>16</v>
      </c>
      <c r="G177" s="5" t="s">
        <v>16</v>
      </c>
      <c r="H177" s="4" t="s">
        <v>16</v>
      </c>
      <c r="I177" s="4" t="s">
        <v>16</v>
      </c>
      <c r="J177" s="4" t="s">
        <v>16</v>
      </c>
      <c r="K177" s="4" t="s">
        <v>16</v>
      </c>
    </row>
    <row r="178" spans="1:11" ht="16" x14ac:dyDescent="0.2">
      <c r="A178" s="3" t="s">
        <v>171</v>
      </c>
      <c r="B178" s="4" t="s">
        <v>16</v>
      </c>
      <c r="C178" s="4">
        <v>-286375000</v>
      </c>
      <c r="D178" s="4">
        <v>-110000</v>
      </c>
      <c r="E178" s="4" t="s">
        <v>16</v>
      </c>
      <c r="F178" s="4">
        <v>-1500000000</v>
      </c>
      <c r="G178" s="5">
        <v>-1500000000</v>
      </c>
      <c r="H178" s="4" t="s">
        <v>16</v>
      </c>
      <c r="I178" s="4">
        <v>-1500000000</v>
      </c>
      <c r="J178" s="4" t="s">
        <v>16</v>
      </c>
      <c r="K178" s="4" t="s">
        <v>16</v>
      </c>
    </row>
    <row r="179" spans="1:11" ht="16" x14ac:dyDescent="0.2">
      <c r="A179" s="3" t="s">
        <v>172</v>
      </c>
      <c r="B179" s="4">
        <v>148251000</v>
      </c>
      <c r="C179" s="4">
        <v>-12353000</v>
      </c>
      <c r="D179" s="4">
        <v>183983000</v>
      </c>
      <c r="E179" s="4">
        <v>-3998000</v>
      </c>
      <c r="F179" s="4">
        <v>273366000</v>
      </c>
      <c r="G179" s="5">
        <v>277592000</v>
      </c>
      <c r="H179" s="4">
        <v>18766000</v>
      </c>
      <c r="I179" s="4">
        <v>216882000</v>
      </c>
      <c r="J179" s="4">
        <v>21971000</v>
      </c>
      <c r="K179" s="4">
        <v>19973000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148251000</v>
      </c>
      <c r="C181" s="4">
        <v>161472000</v>
      </c>
      <c r="D181" s="4">
        <v>1701455000</v>
      </c>
      <c r="E181" s="4">
        <v>1721002000</v>
      </c>
      <c r="F181" s="4">
        <v>-226634000</v>
      </c>
      <c r="G181" s="5">
        <v>-222408000</v>
      </c>
      <c r="H181" s="4">
        <v>18766000</v>
      </c>
      <c r="I181" s="4">
        <v>-283118000</v>
      </c>
      <c r="J181" s="4">
        <v>21971000</v>
      </c>
      <c r="K181" s="4">
        <v>19973000</v>
      </c>
    </row>
    <row r="182" spans="1:11" ht="16" x14ac:dyDescent="0.2">
      <c r="A182" s="3" t="s">
        <v>174</v>
      </c>
      <c r="B182" s="4">
        <v>-8000</v>
      </c>
      <c r="C182" s="4">
        <v>-172000</v>
      </c>
      <c r="D182" s="4">
        <v>673000</v>
      </c>
      <c r="E182" s="4">
        <v>459000</v>
      </c>
      <c r="F182" s="4">
        <v>1926000</v>
      </c>
      <c r="G182" s="5">
        <v>-6818000</v>
      </c>
      <c r="H182" s="4">
        <v>-4144000</v>
      </c>
      <c r="I182" s="4">
        <v>6111000</v>
      </c>
      <c r="J182" s="4">
        <v>3151000</v>
      </c>
      <c r="K182" s="4">
        <v>-11936000</v>
      </c>
    </row>
    <row r="183" spans="1:11" ht="16" x14ac:dyDescent="0.2">
      <c r="A183" s="3" t="s">
        <v>175</v>
      </c>
      <c r="B183" s="4">
        <v>27149000</v>
      </c>
      <c r="C183" s="4">
        <v>-126005000</v>
      </c>
      <c r="D183" s="4">
        <v>1146178000</v>
      </c>
      <c r="E183" s="4">
        <v>-227807000</v>
      </c>
      <c r="F183" s="4">
        <v>437163000</v>
      </c>
      <c r="G183" s="5">
        <v>488562000</v>
      </c>
      <c r="H183" s="4">
        <v>81096000</v>
      </c>
      <c r="I183" s="4">
        <v>249485000</v>
      </c>
      <c r="J183" s="4">
        <v>104983000</v>
      </c>
      <c r="K183" s="4">
        <v>52998000</v>
      </c>
    </row>
    <row r="184" spans="1:11" ht="16" x14ac:dyDescent="0.2">
      <c r="A184" s="3" t="s">
        <v>46</v>
      </c>
      <c r="B184" s="4">
        <v>-109783000</v>
      </c>
      <c r="C184" s="4">
        <v>-119556000</v>
      </c>
      <c r="D184" s="4">
        <v>-231838000</v>
      </c>
      <c r="E184" s="4">
        <v>-467098000</v>
      </c>
      <c r="F184" s="4">
        <v>-670637000</v>
      </c>
      <c r="G184" s="5">
        <v>-611715000</v>
      </c>
      <c r="H184" s="4">
        <v>-196136000</v>
      </c>
      <c r="I184" s="4">
        <v>-189782000</v>
      </c>
      <c r="J184" s="4">
        <v>-145424000</v>
      </c>
      <c r="K184" s="4">
        <v>-80373000</v>
      </c>
    </row>
    <row r="185" spans="1:11" ht="16" x14ac:dyDescent="0.2">
      <c r="A185" s="3" t="s">
        <v>47</v>
      </c>
      <c r="B185" s="6">
        <v>-28.83</v>
      </c>
      <c r="C185" s="6">
        <v>-22.07</v>
      </c>
      <c r="D185" s="6">
        <v>-30.01</v>
      </c>
      <c r="E185" s="6">
        <v>-42.06</v>
      </c>
      <c r="F185" s="6">
        <v>-48.21</v>
      </c>
      <c r="G185" s="7">
        <v>-33.840000000000003</v>
      </c>
      <c r="H185" s="6">
        <v>-47.8</v>
      </c>
      <c r="I185" s="6">
        <v>-48.21</v>
      </c>
      <c r="J185" s="6">
        <v>-43.68</v>
      </c>
      <c r="K185" s="6">
        <v>-33.840000000000003</v>
      </c>
    </row>
    <row r="186" spans="1:11" ht="16" x14ac:dyDescent="0.2">
      <c r="A186" s="3" t="s">
        <v>176</v>
      </c>
      <c r="B186" s="4">
        <v>2024000</v>
      </c>
      <c r="C186" s="4">
        <v>192506000</v>
      </c>
      <c r="D186" s="4">
        <v>52475000</v>
      </c>
      <c r="E186" s="4">
        <v>1580081000</v>
      </c>
      <c r="F186" s="4">
        <v>-121531000</v>
      </c>
      <c r="G186" s="5">
        <v>-147178000</v>
      </c>
      <c r="H186" s="4">
        <v>193000</v>
      </c>
      <c r="I186" s="4">
        <v>-147371000</v>
      </c>
      <c r="J186" s="4" t="s">
        <v>16</v>
      </c>
      <c r="K186" s="4" t="s">
        <v>16</v>
      </c>
    </row>
    <row r="187" spans="1:11" ht="16" x14ac:dyDescent="0.2">
      <c r="A187" s="3" t="s">
        <v>177</v>
      </c>
      <c r="B187" s="4">
        <v>-119078000</v>
      </c>
      <c r="C187" s="4">
        <v>-94971000</v>
      </c>
      <c r="D187" s="4">
        <v>-20993000</v>
      </c>
      <c r="E187" s="4">
        <v>-153387000</v>
      </c>
      <c r="F187" s="4">
        <v>-116569000</v>
      </c>
      <c r="G187" s="5">
        <v>-130566000</v>
      </c>
      <c r="H187" s="4">
        <v>-80787000</v>
      </c>
      <c r="I187" s="4">
        <v>-63855000</v>
      </c>
      <c r="J187" s="4">
        <v>-19449000</v>
      </c>
      <c r="K187" s="4">
        <v>33525000</v>
      </c>
    </row>
    <row r="188" spans="1:11" ht="16" x14ac:dyDescent="0.2">
      <c r="A188" s="31" t="s">
        <v>178</v>
      </c>
      <c r="B188" s="29">
        <v>-119078000</v>
      </c>
      <c r="C188" s="29">
        <v>-94971000</v>
      </c>
      <c r="D188" s="29">
        <v>-20993000</v>
      </c>
      <c r="E188" s="29">
        <v>-153387000</v>
      </c>
      <c r="F188" s="29">
        <v>-116569000</v>
      </c>
      <c r="G188" s="30">
        <v>-130566000</v>
      </c>
      <c r="H188" s="29">
        <v>-80787000</v>
      </c>
      <c r="I188" s="29">
        <v>-63855000</v>
      </c>
      <c r="J188" s="29">
        <v>-19449000</v>
      </c>
      <c r="K188" s="29">
        <v>33525000</v>
      </c>
    </row>
    <row r="189" spans="1:11" ht="16" x14ac:dyDescent="0.2">
      <c r="A189" s="23" t="s">
        <v>191</v>
      </c>
      <c r="B189" s="24"/>
      <c r="C189" s="25">
        <f>(C188/B188)-1</f>
        <v>-0.20244713549102267</v>
      </c>
      <c r="D189" s="25">
        <f>(D188/C188)-1</f>
        <v>-0.77895357530193432</v>
      </c>
      <c r="E189" s="25">
        <f>(E188/D188)-1</f>
        <v>6.3065783832706144</v>
      </c>
      <c r="F189" s="25">
        <f t="shared" ref="F189:K189" si="8">(F188/E188)-1</f>
        <v>-0.2400333796214803</v>
      </c>
      <c r="G189" s="25">
        <f t="shared" si="8"/>
        <v>0.12007480548001603</v>
      </c>
      <c r="H189" s="25"/>
      <c r="I189" s="25">
        <f t="shared" si="8"/>
        <v>-0.20958817631549631</v>
      </c>
      <c r="J189" s="25">
        <f t="shared" si="8"/>
        <v>-0.69541930937279772</v>
      </c>
      <c r="K189" s="25">
        <f t="shared" si="8"/>
        <v>-2.7237390097177232</v>
      </c>
    </row>
    <row r="190" spans="1:11" ht="16" x14ac:dyDescent="0.2">
      <c r="A190" s="26" t="s">
        <v>192</v>
      </c>
      <c r="B190" s="27">
        <f t="shared" ref="B190:K190" si="9">B188/B2</f>
        <v>-0.31274178933960156</v>
      </c>
      <c r="C190" s="27">
        <f t="shared" si="9"/>
        <v>-0.17529472349426611</v>
      </c>
      <c r="D190" s="27">
        <f t="shared" si="9"/>
        <v>-2.7177339486953764E-2</v>
      </c>
      <c r="E190" s="27">
        <f t="shared" si="9"/>
        <v>-0.13812103453678706</v>
      </c>
      <c r="F190" s="27">
        <f t="shared" si="9"/>
        <v>-8.3800854622206378E-2</v>
      </c>
      <c r="G190" s="27">
        <f t="shared" si="9"/>
        <v>-7.2227932382361179E-2</v>
      </c>
      <c r="H190" s="27">
        <f t="shared" si="9"/>
        <v>-0.25020673251135866</v>
      </c>
      <c r="I190" s="27">
        <f t="shared" si="9"/>
        <v>-0.14159352867349337</v>
      </c>
      <c r="J190" s="27">
        <f t="shared" si="9"/>
        <v>-3.8869935906275667E-2</v>
      </c>
      <c r="K190" s="27">
        <f t="shared" si="9"/>
        <v>6.2842329018253804E-2</v>
      </c>
    </row>
    <row r="191" spans="1:11" ht="16" x14ac:dyDescent="0.2">
      <c r="A191" s="3" t="s">
        <v>179</v>
      </c>
      <c r="B191" s="4" t="s">
        <v>16</v>
      </c>
      <c r="C191" s="4">
        <v>-8526000</v>
      </c>
      <c r="D191" s="4">
        <v>-706802000</v>
      </c>
      <c r="E191" s="4">
        <v>1571613000</v>
      </c>
      <c r="F191" s="4">
        <v>883431000</v>
      </c>
      <c r="G191" s="5">
        <v>869434000</v>
      </c>
      <c r="H191" s="4">
        <v>-80787000</v>
      </c>
      <c r="I191" s="4">
        <v>936145000</v>
      </c>
      <c r="J191" s="4">
        <v>-19449000</v>
      </c>
      <c r="K191" s="4">
        <v>33525000</v>
      </c>
    </row>
    <row r="192" spans="1:11" ht="16" x14ac:dyDescent="0.2">
      <c r="A192" s="3" t="s">
        <v>180</v>
      </c>
      <c r="B192" s="6">
        <v>-0.52</v>
      </c>
      <c r="C192" s="6">
        <v>-0.42</v>
      </c>
      <c r="D192" s="6">
        <v>-0.12</v>
      </c>
      <c r="E192" s="6">
        <v>-0.54</v>
      </c>
      <c r="F192" s="6">
        <v>-0.38</v>
      </c>
      <c r="G192" s="7">
        <v>-0.37</v>
      </c>
      <c r="H192" s="6">
        <v>-0.27</v>
      </c>
      <c r="I192" s="6">
        <v>-0.18</v>
      </c>
      <c r="J192" s="6">
        <v>-0.05</v>
      </c>
      <c r="K192" s="6">
        <v>0.09</v>
      </c>
    </row>
    <row r="193" spans="1:11" ht="16" x14ac:dyDescent="0.2">
      <c r="A193" s="3" t="s">
        <v>181</v>
      </c>
      <c r="B193" s="4" t="s">
        <v>16</v>
      </c>
      <c r="C193" s="4" t="s">
        <v>16</v>
      </c>
      <c r="D193" s="6">
        <v>428.91</v>
      </c>
      <c r="E193" s="6">
        <v>-580.5</v>
      </c>
      <c r="F193" s="6">
        <v>-3871.48</v>
      </c>
      <c r="G193" s="7">
        <v>-761.08</v>
      </c>
      <c r="H193" s="4" t="s">
        <v>16</v>
      </c>
      <c r="I193" s="4" t="s">
        <v>16</v>
      </c>
      <c r="J193" s="6">
        <v>-86.08</v>
      </c>
      <c r="K193" s="6">
        <v>-476.47</v>
      </c>
    </row>
    <row r="194" spans="1:11" ht="16" x14ac:dyDescent="0.2">
      <c r="A194" s="3" t="s">
        <v>182</v>
      </c>
      <c r="B194" s="6">
        <v>0.62</v>
      </c>
      <c r="C194" s="6">
        <v>0.42</v>
      </c>
      <c r="D194" s="6">
        <v>-7.0000000000000007E-2</v>
      </c>
      <c r="E194" s="6">
        <v>0.21</v>
      </c>
      <c r="F194" s="6">
        <v>0.06</v>
      </c>
      <c r="G194" s="7">
        <v>0.08</v>
      </c>
      <c r="H194" s="6">
        <v>0.28000000000000003</v>
      </c>
      <c r="I194" s="6">
        <v>0.17</v>
      </c>
      <c r="J194" s="6">
        <v>0.02</v>
      </c>
      <c r="K194" s="6">
        <v>-0.25</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I1 A4:K7 A15:K16 A19:K33 A191:K195 A2:K2 A9:K11 A13:K13 A37:K95 A130:K142 A144:K171 A188 A97:K104 A96 G96:H96 D96:E96 A106:K128 A105 D105:K105 J96:K96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263A-285C-CF41-AA8F-B2350D5A8C18}">
  <dimension ref="A1:P110"/>
  <sheetViews>
    <sheetView tabSelected="1" topLeftCell="B1" workbookViewId="0">
      <selection activeCell="F10" sqref="F10"/>
    </sheetView>
  </sheetViews>
  <sheetFormatPr baseColWidth="10" defaultRowHeight="15" x14ac:dyDescent="0.2"/>
  <cols>
    <col min="1" max="19"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thickBot="1" x14ac:dyDescent="0.25">
      <c r="A2" s="119"/>
      <c r="B2" s="119"/>
      <c r="C2" s="119"/>
      <c r="D2" s="119"/>
      <c r="E2" s="119"/>
      <c r="F2" s="119"/>
      <c r="G2" s="119"/>
      <c r="H2" s="119"/>
      <c r="I2" s="119"/>
      <c r="J2" s="119"/>
      <c r="K2" s="119"/>
      <c r="L2" s="119"/>
      <c r="M2" s="119"/>
      <c r="N2" s="119"/>
      <c r="O2" s="119"/>
      <c r="P2" s="119"/>
    </row>
    <row r="3" spans="1:16" ht="22" customHeight="1" x14ac:dyDescent="0.2">
      <c r="A3" s="40" cm="1">
        <f t="array" ref="A3">_FV(A1,"Market cap",TRUE)</f>
        <v>9678462252</v>
      </c>
      <c r="B3" s="41" t="s">
        <v>195</v>
      </c>
      <c r="C3" s="42">
        <f>Financials!G8*0.01</f>
        <v>0.68319999999999992</v>
      </c>
      <c r="D3" s="41" t="s">
        <v>196</v>
      </c>
      <c r="E3" s="42">
        <f>SUM(C11:E11)/3</f>
        <v>0.37200476861401505</v>
      </c>
      <c r="F3" s="43" t="s">
        <v>197</v>
      </c>
      <c r="G3" s="44">
        <f>AVERAGE(Financials!B129:G129)</f>
        <v>0.11430379010949462</v>
      </c>
      <c r="H3" s="43" t="s">
        <v>198</v>
      </c>
      <c r="I3" s="45">
        <f>J15*(1+I7)/(I6-I7)</f>
        <v>12970366440.042248</v>
      </c>
      <c r="J3" s="46" t="s">
        <v>199</v>
      </c>
      <c r="K3" s="47">
        <f>(Financials!G172*-1)/Model!A3</f>
        <v>0</v>
      </c>
      <c r="L3" s="48" t="s">
        <v>200</v>
      </c>
      <c r="M3" s="49"/>
      <c r="N3" s="121" t="s">
        <v>201</v>
      </c>
      <c r="O3" s="122"/>
      <c r="P3" s="49"/>
    </row>
    <row r="4" spans="1:16" ht="22" customHeight="1" x14ac:dyDescent="0.2">
      <c r="A4" s="50">
        <f>Financials!G56-Financials!G96-Financials!G105</f>
        <v>-1331810000</v>
      </c>
      <c r="B4" s="51" t="s">
        <v>202</v>
      </c>
      <c r="C4" s="52">
        <f>Financials!G17*0.01</f>
        <v>-0.53100000000000003</v>
      </c>
      <c r="D4" s="51" t="s">
        <v>203</v>
      </c>
      <c r="E4" s="52">
        <f>SUM(C13:E13)/3</f>
        <v>0.78196586024073744</v>
      </c>
      <c r="F4" s="53" t="s">
        <v>204</v>
      </c>
      <c r="G4" s="54">
        <f>A5*(1+(5*G3))</f>
        <v>602610413.67576754</v>
      </c>
      <c r="H4" s="53" t="s">
        <v>205</v>
      </c>
      <c r="I4" s="55">
        <f>NPV(I6,F15,G15,H15,I15,(J15+I3))</f>
        <v>10969495424.346024</v>
      </c>
      <c r="J4" s="53" t="s">
        <v>206</v>
      </c>
      <c r="K4" s="56" cm="1">
        <f t="array" ref="K4">_FV(A1,"Change (%)",TRUE)</f>
        <v>-3.1466000000000001E-2</v>
      </c>
      <c r="L4" s="57" t="s">
        <v>207</v>
      </c>
      <c r="M4" s="49"/>
      <c r="N4" s="123" t="s">
        <v>208</v>
      </c>
      <c r="O4" s="124"/>
      <c r="P4" s="49"/>
    </row>
    <row r="5" spans="1:16" ht="22" customHeight="1" x14ac:dyDescent="0.2">
      <c r="A5" s="50" cm="1">
        <f t="array" ref="A5">_FV(A1,"Shares outstanding",TRUE)</f>
        <v>383457300</v>
      </c>
      <c r="B5" s="51" t="s">
        <v>209</v>
      </c>
      <c r="C5" s="52">
        <f>F14</f>
        <v>0.12459621596677434</v>
      </c>
      <c r="D5" s="58" t="s">
        <v>210</v>
      </c>
      <c r="E5" s="52">
        <f>SUM(C16:E16)/3</f>
        <v>1.7625304761157332</v>
      </c>
      <c r="F5" s="53" t="s">
        <v>211</v>
      </c>
      <c r="G5" s="54">
        <f>Financials!G56</f>
        <v>1640926000</v>
      </c>
      <c r="H5" s="53" t="s">
        <v>212</v>
      </c>
      <c r="I5" s="55">
        <f>I4+G5-G6</f>
        <v>9637685424.3460236</v>
      </c>
      <c r="J5" s="53" t="s">
        <v>213</v>
      </c>
      <c r="K5" s="59" cm="1">
        <f t="array" ref="K5">_FV(A1,"Price")</f>
        <v>25.24</v>
      </c>
      <c r="L5" s="60" t="s">
        <v>214</v>
      </c>
      <c r="M5" s="49"/>
      <c r="N5" s="61" t="s">
        <v>215</v>
      </c>
      <c r="O5" s="62">
        <f>Financials!G20</f>
        <v>-14544000</v>
      </c>
      <c r="P5" s="49"/>
    </row>
    <row r="6" spans="1:16" ht="22" customHeight="1" x14ac:dyDescent="0.2">
      <c r="A6" s="63">
        <f>O20/F10</f>
        <v>4.4662954554683898</v>
      </c>
      <c r="B6" s="51" t="s">
        <v>216</v>
      </c>
      <c r="C6" s="52">
        <f>F17</f>
        <v>0.15413013382556529</v>
      </c>
      <c r="D6" s="58" t="s">
        <v>192</v>
      </c>
      <c r="E6" s="52">
        <f>Financials!G33/Financials!G126</f>
        <v>-0.26842245169205603</v>
      </c>
      <c r="F6" s="51" t="s">
        <v>217</v>
      </c>
      <c r="G6" s="54">
        <f>Financials!G96+Financials!G105</f>
        <v>2972736000</v>
      </c>
      <c r="H6" s="53" t="s">
        <v>218</v>
      </c>
      <c r="I6" s="56">
        <f>N25</f>
        <v>7.2889934557467811E-2</v>
      </c>
      <c r="J6" s="53" t="s">
        <v>219</v>
      </c>
      <c r="K6" s="64">
        <f>I5/G4</f>
        <v>15.99322747437874</v>
      </c>
      <c r="L6" s="65" t="s">
        <v>220</v>
      </c>
      <c r="M6" s="49"/>
      <c r="N6" s="61" t="s">
        <v>221</v>
      </c>
      <c r="O6" s="62">
        <f>Financials!G96</f>
        <v>140792000</v>
      </c>
      <c r="P6" s="49"/>
    </row>
    <row r="7" spans="1:16" ht="22" customHeight="1" thickBot="1" x14ac:dyDescent="0.25">
      <c r="A7" s="66">
        <f>O20/F12</f>
        <v>35.846156488888887</v>
      </c>
      <c r="B7" s="67" t="s">
        <v>222</v>
      </c>
      <c r="C7" s="68">
        <f>F15/A3</f>
        <v>3.4509614368850874E-2</v>
      </c>
      <c r="D7" s="67" t="s">
        <v>223</v>
      </c>
      <c r="E7" s="69">
        <f>(Financials!G16*(1-0.25))/(Financials!G126+Financials!G105+Financials!G96)</f>
        <v>-0.1084036544227632</v>
      </c>
      <c r="F7" s="67" t="s">
        <v>188</v>
      </c>
      <c r="G7" s="70">
        <f>(Financials!G96+Financials!G105)/Financials!G126</f>
        <v>0.81047909211737046</v>
      </c>
      <c r="H7" s="71" t="s">
        <v>224</v>
      </c>
      <c r="I7" s="72">
        <v>2.5000000000000001E-2</v>
      </c>
      <c r="J7" s="73" t="s">
        <v>225</v>
      </c>
      <c r="K7" s="74">
        <f>K6/K5-1</f>
        <v>-0.36635390355076303</v>
      </c>
      <c r="L7" s="75" t="s">
        <v>226</v>
      </c>
      <c r="M7" s="49"/>
      <c r="N7" s="61" t="s">
        <v>227</v>
      </c>
      <c r="O7" s="62">
        <f>Financials!G105</f>
        <v>2831944000</v>
      </c>
      <c r="P7" s="49"/>
    </row>
    <row r="8" spans="1:16" ht="22" customHeight="1" x14ac:dyDescent="0.2">
      <c r="A8" s="76"/>
      <c r="B8" s="49"/>
      <c r="C8" s="49"/>
      <c r="D8" s="49"/>
      <c r="E8" s="49"/>
      <c r="F8" s="49"/>
      <c r="G8" s="49"/>
      <c r="H8" s="49"/>
      <c r="I8" s="49"/>
      <c r="J8" s="77"/>
      <c r="K8" s="77"/>
      <c r="L8" s="77"/>
      <c r="M8" s="49"/>
      <c r="N8" s="78" t="s">
        <v>208</v>
      </c>
      <c r="O8" s="79">
        <f>O5/(O6+O7)</f>
        <v>-4.8924627010269329E-3</v>
      </c>
      <c r="P8" s="49"/>
    </row>
    <row r="9" spans="1:16" ht="22" customHeight="1" x14ac:dyDescent="0.2">
      <c r="A9" s="80"/>
      <c r="B9" s="81">
        <v>2019</v>
      </c>
      <c r="C9" s="81">
        <v>2020</v>
      </c>
      <c r="D9" s="81">
        <v>2021</v>
      </c>
      <c r="E9" s="82">
        <v>2022</v>
      </c>
      <c r="F9" s="83">
        <v>2023</v>
      </c>
      <c r="G9" s="84">
        <v>2024</v>
      </c>
      <c r="H9" s="84">
        <v>2025</v>
      </c>
      <c r="I9" s="84">
        <v>2026</v>
      </c>
      <c r="J9" s="85">
        <v>2027</v>
      </c>
      <c r="K9" s="77"/>
      <c r="L9" s="77"/>
      <c r="M9" s="77"/>
      <c r="N9" s="61" t="s">
        <v>228</v>
      </c>
      <c r="O9" s="62">
        <f>Financials!G25</f>
        <v>39524000</v>
      </c>
      <c r="P9" s="49"/>
    </row>
    <row r="10" spans="1:16" ht="22" customHeight="1" x14ac:dyDescent="0.2">
      <c r="A10" s="86" t="s">
        <v>229</v>
      </c>
      <c r="B10" s="87">
        <v>541779000</v>
      </c>
      <c r="C10" s="87">
        <v>772445000</v>
      </c>
      <c r="D10" s="87">
        <v>1110526000</v>
      </c>
      <c r="E10" s="88">
        <v>1391024000</v>
      </c>
      <c r="F10" s="87">
        <v>2167000000</v>
      </c>
      <c r="G10" s="87">
        <v>2606000000</v>
      </c>
      <c r="H10" s="87">
        <v>3086000000</v>
      </c>
      <c r="I10" s="87">
        <v>2949000000</v>
      </c>
      <c r="J10" s="88">
        <v>3220000000</v>
      </c>
      <c r="K10" s="89" t="s">
        <v>230</v>
      </c>
      <c r="L10" s="77"/>
      <c r="N10" s="61" t="s">
        <v>231</v>
      </c>
      <c r="O10" s="62">
        <f>Financials!G24</f>
        <v>-945278000</v>
      </c>
      <c r="P10" s="49"/>
    </row>
    <row r="11" spans="1:16" ht="22" customHeight="1" x14ac:dyDescent="0.2">
      <c r="A11" s="90"/>
      <c r="B11" s="91"/>
      <c r="C11" s="91">
        <f t="shared" ref="C11:J11" si="0">(C10/B10)-1</f>
        <v>0.42575662770243961</v>
      </c>
      <c r="D11" s="91">
        <f t="shared" si="0"/>
        <v>0.43767646887480671</v>
      </c>
      <c r="E11" s="91">
        <f t="shared" si="0"/>
        <v>0.25258120926479877</v>
      </c>
      <c r="F11" s="92">
        <f t="shared" si="0"/>
        <v>0.55784515579889349</v>
      </c>
      <c r="G11" s="91">
        <f t="shared" si="0"/>
        <v>0.20258421781264424</v>
      </c>
      <c r="H11" s="91">
        <f t="shared" si="0"/>
        <v>0.1841903300076746</v>
      </c>
      <c r="I11" s="91">
        <f t="shared" si="0"/>
        <v>-4.439403758911209E-2</v>
      </c>
      <c r="J11" s="93">
        <f t="shared" si="0"/>
        <v>9.1895557816208839E-2</v>
      </c>
      <c r="K11" s="93">
        <f>SUM(F11:J11)/5</f>
        <v>0.19842424476926182</v>
      </c>
      <c r="L11" s="77"/>
      <c r="M11" s="77"/>
      <c r="N11" s="61" t="s">
        <v>232</v>
      </c>
      <c r="O11" s="94">
        <f>O9/O10</f>
        <v>-4.1812038363317455E-2</v>
      </c>
      <c r="P11" s="49"/>
    </row>
    <row r="12" spans="1:16" ht="22" customHeight="1" x14ac:dyDescent="0.2">
      <c r="A12" s="86" t="s">
        <v>134</v>
      </c>
      <c r="B12" s="87">
        <v>-163190000</v>
      </c>
      <c r="C12" s="87">
        <v>-282308000</v>
      </c>
      <c r="D12" s="87">
        <v>-532607000</v>
      </c>
      <c r="E12" s="87">
        <v>-921062000</v>
      </c>
      <c r="F12" s="95">
        <v>270000000</v>
      </c>
      <c r="G12" s="87">
        <v>536000000</v>
      </c>
      <c r="H12" s="87">
        <v>665000000</v>
      </c>
      <c r="I12" s="87">
        <v>502000000</v>
      </c>
      <c r="J12" s="88">
        <v>686000000</v>
      </c>
      <c r="K12" s="96" t="s">
        <v>233</v>
      </c>
      <c r="L12" s="77"/>
      <c r="M12" s="77"/>
      <c r="N12" s="61" t="s">
        <v>234</v>
      </c>
      <c r="O12" s="94">
        <f>O8*(1-O11)</f>
        <v>-5.0970265391733702E-3</v>
      </c>
      <c r="P12" s="49"/>
    </row>
    <row r="13" spans="1:16" ht="22" customHeight="1" x14ac:dyDescent="0.2">
      <c r="A13" s="90"/>
      <c r="B13" s="91"/>
      <c r="C13" s="91">
        <f t="shared" ref="C13:J13" si="1">(C12/B12)-1</f>
        <v>0.7299344322568786</v>
      </c>
      <c r="D13" s="91">
        <f t="shared" si="1"/>
        <v>0.88661674483188579</v>
      </c>
      <c r="E13" s="91">
        <f t="shared" si="1"/>
        <v>0.72934640363344827</v>
      </c>
      <c r="F13" s="92">
        <f t="shared" si="1"/>
        <v>-1.2931398754915522</v>
      </c>
      <c r="G13" s="91">
        <f t="shared" si="1"/>
        <v>0.98518518518518516</v>
      </c>
      <c r="H13" s="91">
        <f t="shared" si="1"/>
        <v>0.24067164179104483</v>
      </c>
      <c r="I13" s="91">
        <f t="shared" si="1"/>
        <v>-0.24511278195488717</v>
      </c>
      <c r="J13" s="93">
        <f t="shared" si="1"/>
        <v>0.36653386454183257</v>
      </c>
      <c r="K13" s="93">
        <f>AVERAGE(G13:J13)</f>
        <v>0.33681947739079388</v>
      </c>
      <c r="L13" s="77"/>
      <c r="M13" s="77"/>
      <c r="N13" s="123" t="s">
        <v>235</v>
      </c>
      <c r="O13" s="124"/>
      <c r="P13" s="49"/>
    </row>
    <row r="14" spans="1:16" ht="22" customHeight="1" x14ac:dyDescent="0.2">
      <c r="A14" s="97" t="s">
        <v>236</v>
      </c>
      <c r="B14" s="98">
        <f>B12/B10</f>
        <v>-0.30121137954774918</v>
      </c>
      <c r="C14" s="98">
        <f t="shared" ref="C14:J14" si="2">C12/C10</f>
        <v>-0.36547326994154922</v>
      </c>
      <c r="D14" s="98">
        <f t="shared" si="2"/>
        <v>-0.47959885675796876</v>
      </c>
      <c r="E14" s="98">
        <f t="shared" si="2"/>
        <v>-0.66214673506711608</v>
      </c>
      <c r="F14" s="99">
        <f t="shared" si="2"/>
        <v>0.12459621596677434</v>
      </c>
      <c r="G14" s="98">
        <f t="shared" si="2"/>
        <v>0.2056792018419033</v>
      </c>
      <c r="H14" s="98">
        <f t="shared" si="2"/>
        <v>0.21548930654569021</v>
      </c>
      <c r="I14" s="98">
        <f t="shared" si="2"/>
        <v>0.17022719565954561</v>
      </c>
      <c r="J14" s="100">
        <f t="shared" si="2"/>
        <v>0.21304347826086956</v>
      </c>
      <c r="K14" s="100"/>
      <c r="L14" s="77"/>
      <c r="M14" s="77"/>
      <c r="N14" s="61" t="s">
        <v>237</v>
      </c>
      <c r="O14" s="94">
        <f>'[1]US Treasury Bonds'!$C$8</f>
        <v>4.5080000000000002E-2</v>
      </c>
      <c r="P14" s="49"/>
    </row>
    <row r="15" spans="1:16" ht="22" customHeight="1" x14ac:dyDescent="0.2">
      <c r="A15" s="86" t="s">
        <v>177</v>
      </c>
      <c r="B15" s="87">
        <v>-94971000</v>
      </c>
      <c r="C15" s="87">
        <v>-20993000</v>
      </c>
      <c r="D15" s="87">
        <v>-153387000</v>
      </c>
      <c r="E15" s="87">
        <v>-116569000</v>
      </c>
      <c r="F15" s="95">
        <v>334000000</v>
      </c>
      <c r="G15" s="87">
        <v>400000000</v>
      </c>
      <c r="H15" s="87">
        <v>450000000</v>
      </c>
      <c r="I15" s="87">
        <v>525000000</v>
      </c>
      <c r="J15" s="88">
        <v>606000000</v>
      </c>
      <c r="K15" s="96" t="s">
        <v>238</v>
      </c>
      <c r="L15" s="77"/>
      <c r="M15" s="77"/>
      <c r="N15" s="61" t="s">
        <v>239</v>
      </c>
      <c r="O15" s="101">
        <f>1.33</f>
        <v>1.33</v>
      </c>
      <c r="P15" s="49"/>
    </row>
    <row r="16" spans="1:16" ht="22" customHeight="1" x14ac:dyDescent="0.2">
      <c r="A16" s="102"/>
      <c r="B16" s="91"/>
      <c r="C16" s="91">
        <f t="shared" ref="C16:J16" si="3">(C15/B15)-1</f>
        <v>-0.77895357530193432</v>
      </c>
      <c r="D16" s="91">
        <f t="shared" si="3"/>
        <v>6.3065783832706144</v>
      </c>
      <c r="E16" s="91">
        <f t="shared" si="3"/>
        <v>-0.2400333796214803</v>
      </c>
      <c r="F16" s="92">
        <f t="shared" si="3"/>
        <v>-3.8652557712599402</v>
      </c>
      <c r="G16" s="91">
        <f t="shared" si="3"/>
        <v>0.19760479041916157</v>
      </c>
      <c r="H16" s="91">
        <f t="shared" si="3"/>
        <v>0.125</v>
      </c>
      <c r="I16" s="91">
        <f t="shared" si="3"/>
        <v>0.16666666666666674</v>
      </c>
      <c r="J16" s="93">
        <f t="shared" si="3"/>
        <v>0.15428571428571436</v>
      </c>
      <c r="K16" s="93">
        <f>AVERAGE(G16:J16)</f>
        <v>0.16088929284288567</v>
      </c>
      <c r="L16" s="77"/>
      <c r="M16" s="77"/>
      <c r="N16" s="61" t="s">
        <v>240</v>
      </c>
      <c r="O16" s="94">
        <v>8.4000000000000005E-2</v>
      </c>
      <c r="P16" s="49"/>
    </row>
    <row r="17" spans="1:16" ht="22" customHeight="1" x14ac:dyDescent="0.2">
      <c r="A17" s="97" t="s">
        <v>192</v>
      </c>
      <c r="B17" s="98">
        <f>B15/B10</f>
        <v>-0.17529472349426611</v>
      </c>
      <c r="C17" s="98">
        <f t="shared" ref="C17:J17" si="4">C15/C10</f>
        <v>-2.7177339486953764E-2</v>
      </c>
      <c r="D17" s="98">
        <f t="shared" si="4"/>
        <v>-0.13812103453678706</v>
      </c>
      <c r="E17" s="100">
        <f t="shared" si="4"/>
        <v>-8.3800854622206378E-2</v>
      </c>
      <c r="F17" s="98">
        <f t="shared" si="4"/>
        <v>0.15413013382556529</v>
      </c>
      <c r="G17" s="98">
        <f t="shared" si="4"/>
        <v>0.15349194167306215</v>
      </c>
      <c r="H17" s="98">
        <f t="shared" si="4"/>
        <v>0.14581983149708361</v>
      </c>
      <c r="I17" s="98">
        <f t="shared" si="4"/>
        <v>0.17802644964394709</v>
      </c>
      <c r="J17" s="100">
        <f t="shared" si="4"/>
        <v>0.18819875776397516</v>
      </c>
      <c r="K17" s="100"/>
      <c r="L17" s="77"/>
      <c r="M17" s="77"/>
      <c r="N17" s="103" t="s">
        <v>235</v>
      </c>
      <c r="O17" s="104">
        <f>(O14)+((O15)*(O16-O14))</f>
        <v>9.6843600000000002E-2</v>
      </c>
      <c r="P17" s="49"/>
    </row>
    <row r="18" spans="1:16" ht="22" customHeight="1" x14ac:dyDescent="0.2">
      <c r="A18" s="105" t="s">
        <v>188</v>
      </c>
      <c r="B18" s="106">
        <v>-0.28687127295251974</v>
      </c>
      <c r="C18" s="106">
        <v>-9.5374470743388631E-2</v>
      </c>
      <c r="D18" s="106">
        <v>-9.4631634380664562E-2</v>
      </c>
      <c r="E18" s="106">
        <v>-0.10240350239115967</v>
      </c>
      <c r="F18" s="107"/>
      <c r="G18" s="106"/>
      <c r="H18" s="106"/>
      <c r="I18" s="106"/>
      <c r="J18" s="108"/>
      <c r="K18" s="109"/>
      <c r="L18" s="77"/>
      <c r="M18" s="77"/>
      <c r="N18" s="123" t="s">
        <v>241</v>
      </c>
      <c r="O18" s="124"/>
      <c r="P18" s="49"/>
    </row>
    <row r="19" spans="1:16" ht="22" customHeight="1" x14ac:dyDescent="0.2">
      <c r="A19" s="77"/>
      <c r="B19" s="77"/>
      <c r="C19" s="77"/>
      <c r="D19" s="77"/>
      <c r="E19" s="77"/>
      <c r="F19" s="77" t="s">
        <v>242</v>
      </c>
      <c r="G19" s="77"/>
      <c r="H19" s="77"/>
      <c r="I19" s="77"/>
      <c r="J19" s="77"/>
      <c r="K19" s="77"/>
      <c r="L19" s="77"/>
      <c r="M19" s="77"/>
      <c r="N19" s="61" t="s">
        <v>218</v>
      </c>
      <c r="O19" s="110">
        <f>O6+O7</f>
        <v>2972736000</v>
      </c>
      <c r="P19" s="49"/>
    </row>
    <row r="20" spans="1:16" ht="22" customHeight="1" x14ac:dyDescent="0.2">
      <c r="B20" s="111"/>
      <c r="C20" s="111"/>
      <c r="D20" s="111"/>
      <c r="E20" s="111"/>
      <c r="F20" s="77"/>
      <c r="G20" s="77"/>
      <c r="H20" s="77"/>
      <c r="I20" s="77"/>
      <c r="J20" s="77"/>
      <c r="K20" s="77"/>
      <c r="L20" s="77"/>
      <c r="M20" s="77"/>
      <c r="N20" s="61" t="s">
        <v>195</v>
      </c>
      <c r="O20" s="110">
        <f>A3</f>
        <v>9678462252</v>
      </c>
      <c r="P20" s="49"/>
    </row>
    <row r="21" spans="1:16" ht="22" customHeight="1" x14ac:dyDescent="0.2">
      <c r="A21" s="114" t="str" cm="1">
        <f t="array" ref="A21">_FV(A1,"Industry")</f>
        <v>Software &amp; IT Services</v>
      </c>
      <c r="B21" s="114"/>
      <c r="C21" s="125" cm="1">
        <f t="array" ref="C21">_FV(A1,"Year incorporated",TRUE)</f>
        <v>2009</v>
      </c>
      <c r="D21" s="125"/>
      <c r="E21" s="125"/>
      <c r="F21" s="77"/>
      <c r="G21" s="77"/>
      <c r="H21" s="77"/>
      <c r="I21" s="77"/>
      <c r="J21" s="77"/>
      <c r="K21" s="77"/>
      <c r="M21" s="77"/>
      <c r="N21" s="61" t="s">
        <v>243</v>
      </c>
      <c r="O21" s="110">
        <f>O19+O20</f>
        <v>12651198252</v>
      </c>
      <c r="P21" s="49"/>
    </row>
    <row r="22" spans="1:16" ht="22" customHeight="1" x14ac:dyDescent="0.2">
      <c r="A22" s="114" t="str" cm="1">
        <f t="array" ref="A22">_FV(A1,"Description")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B22" s="114"/>
      <c r="C22" s="114"/>
      <c r="D22" s="114"/>
      <c r="E22" s="114"/>
      <c r="F22" s="77"/>
      <c r="G22" s="77"/>
      <c r="H22" s="77"/>
      <c r="I22" s="77"/>
      <c r="J22" s="77"/>
      <c r="K22" s="77"/>
      <c r="L22" s="77"/>
      <c r="M22" s="77"/>
      <c r="N22" s="78" t="s">
        <v>244</v>
      </c>
      <c r="O22" s="112">
        <f>(O19/O21)</f>
        <v>0.23497663547641004</v>
      </c>
      <c r="P22" s="49"/>
    </row>
    <row r="23" spans="1:16" ht="22" customHeight="1" x14ac:dyDescent="0.2">
      <c r="A23" s="114"/>
      <c r="B23" s="114"/>
      <c r="C23" s="114"/>
      <c r="D23" s="114"/>
      <c r="E23" s="114"/>
      <c r="F23" s="77"/>
      <c r="G23" s="77"/>
      <c r="H23" s="77"/>
      <c r="I23" s="77"/>
      <c r="J23" s="77"/>
      <c r="K23" s="77"/>
      <c r="L23" s="77"/>
      <c r="M23" s="77"/>
      <c r="N23" s="103" t="s">
        <v>245</v>
      </c>
      <c r="O23" s="113">
        <f>O20/O21</f>
        <v>0.76502336452358999</v>
      </c>
      <c r="P23" s="49"/>
    </row>
    <row r="24" spans="1:16" ht="22" customHeight="1" x14ac:dyDescent="0.2">
      <c r="A24" s="114"/>
      <c r="B24" s="114"/>
      <c r="C24" s="114"/>
      <c r="D24" s="114"/>
      <c r="E24" s="114"/>
      <c r="F24" s="77"/>
      <c r="G24" s="77"/>
      <c r="H24" s="77"/>
      <c r="I24" s="77"/>
      <c r="J24" s="77"/>
      <c r="K24" s="77"/>
      <c r="L24" s="77"/>
      <c r="M24" s="77"/>
      <c r="N24" s="115" t="s">
        <v>246</v>
      </c>
      <c r="O24" s="116"/>
      <c r="P24" s="49"/>
    </row>
    <row r="25" spans="1:16" ht="22" customHeight="1" x14ac:dyDescent="0.2">
      <c r="A25" s="114"/>
      <c r="B25" s="114"/>
      <c r="C25" s="114"/>
      <c r="D25" s="114"/>
      <c r="E25" s="114"/>
      <c r="F25" s="77"/>
      <c r="G25" s="77"/>
      <c r="H25" s="77"/>
      <c r="I25" s="77"/>
      <c r="J25" s="77"/>
      <c r="K25" s="77"/>
      <c r="L25" s="77"/>
      <c r="M25" s="77"/>
      <c r="N25" s="117">
        <f>(O22*O12)+(O23*O17)</f>
        <v>7.2889934557467811E-2</v>
      </c>
      <c r="O25" s="118"/>
      <c r="P25" s="49"/>
    </row>
    <row r="26" spans="1:16" ht="22" customHeight="1" x14ac:dyDescent="0.2">
      <c r="A26" s="114"/>
      <c r="B26" s="114"/>
      <c r="C26" s="114"/>
      <c r="D26" s="114"/>
      <c r="E26" s="114"/>
      <c r="F26" s="77"/>
      <c r="G26" s="77"/>
      <c r="H26" s="77"/>
      <c r="I26" s="77"/>
      <c r="J26" s="77"/>
      <c r="K26" s="77"/>
      <c r="L26" s="77"/>
      <c r="M26" s="77"/>
      <c r="N26" s="77"/>
      <c r="O26" s="49"/>
      <c r="P26" s="49"/>
    </row>
    <row r="27" spans="1:16" ht="22" customHeight="1" x14ac:dyDescent="0.2">
      <c r="A27" s="114"/>
      <c r="B27" s="114"/>
      <c r="C27" s="114"/>
      <c r="D27" s="114"/>
      <c r="E27" s="114"/>
      <c r="F27" s="77"/>
      <c r="G27" s="77"/>
      <c r="H27" s="77"/>
      <c r="I27" s="77"/>
      <c r="J27" s="77"/>
      <c r="K27" s="77"/>
      <c r="L27" s="77"/>
      <c r="M27" s="77"/>
      <c r="N27" s="77"/>
      <c r="O27" s="49"/>
      <c r="P27" s="49"/>
    </row>
    <row r="28" spans="1:16" ht="22" customHeight="1" x14ac:dyDescent="0.2">
      <c r="A28" s="114"/>
      <c r="B28" s="114"/>
      <c r="C28" s="114"/>
      <c r="D28" s="114"/>
      <c r="E28" s="114"/>
      <c r="F28" s="77"/>
      <c r="G28" s="77"/>
      <c r="H28" s="77"/>
      <c r="I28" s="77"/>
      <c r="J28" s="77"/>
      <c r="K28" s="77"/>
      <c r="L28" s="77"/>
      <c r="M28" s="77"/>
      <c r="N28" s="77"/>
      <c r="O28" s="49"/>
      <c r="P28" s="49"/>
    </row>
    <row r="29" spans="1:16" ht="22" customHeight="1" x14ac:dyDescent="0.2">
      <c r="A29" s="114"/>
      <c r="B29" s="114"/>
      <c r="C29" s="114"/>
      <c r="D29" s="114"/>
      <c r="E29" s="114"/>
      <c r="F29" s="77"/>
      <c r="G29" s="77"/>
      <c r="H29" s="77"/>
      <c r="I29" s="77"/>
      <c r="J29" s="77"/>
      <c r="K29" s="77"/>
      <c r="L29" s="77"/>
      <c r="M29" s="77"/>
      <c r="N29" s="77"/>
      <c r="O29" s="49"/>
      <c r="P29" s="49"/>
    </row>
    <row r="30" spans="1:16" ht="22" customHeight="1" x14ac:dyDescent="0.2">
      <c r="A30" s="114"/>
      <c r="B30" s="114"/>
      <c r="C30" s="114"/>
      <c r="D30" s="114"/>
      <c r="E30" s="114"/>
      <c r="F30" s="77"/>
      <c r="G30" s="77"/>
      <c r="H30" s="77"/>
      <c r="I30" s="77"/>
      <c r="J30" s="77"/>
      <c r="K30" s="77"/>
      <c r="L30" s="77"/>
      <c r="M30" s="77"/>
      <c r="N30" s="77"/>
      <c r="O30" s="49"/>
      <c r="P30" s="49"/>
    </row>
    <row r="31" spans="1:16" ht="22" customHeight="1" x14ac:dyDescent="0.2">
      <c r="A31" s="49"/>
      <c r="B31" s="49"/>
      <c r="C31" s="49"/>
      <c r="D31" s="49"/>
      <c r="E31" s="49"/>
      <c r="F31" s="49"/>
      <c r="G31" s="49"/>
      <c r="H31" s="49"/>
      <c r="I31" s="49"/>
      <c r="J31" s="49"/>
      <c r="K31" s="49"/>
      <c r="L31" s="49"/>
      <c r="M31" s="49"/>
      <c r="N31" s="49"/>
      <c r="O31" s="49"/>
      <c r="P31" s="49"/>
    </row>
    <row r="32" spans="1:16" ht="22" customHeight="1" x14ac:dyDescent="0.2">
      <c r="A32" s="49"/>
      <c r="B32" s="49"/>
      <c r="C32" s="49"/>
      <c r="D32" s="49"/>
      <c r="E32" s="49"/>
      <c r="F32" s="49"/>
      <c r="G32" s="49"/>
      <c r="H32" s="49"/>
      <c r="I32" s="49"/>
      <c r="J32" s="49"/>
      <c r="K32" s="49"/>
      <c r="L32" s="49"/>
      <c r="M32" s="49"/>
      <c r="N32" s="49"/>
      <c r="O32" s="49"/>
      <c r="P32" s="49"/>
    </row>
    <row r="33" spans="1:16" ht="22" customHeight="1" x14ac:dyDescent="0.2">
      <c r="A33" s="77"/>
      <c r="B33" s="77"/>
      <c r="C33" s="77"/>
      <c r="D33" s="77"/>
      <c r="E33" s="77"/>
      <c r="F33" s="77"/>
      <c r="G33" s="77"/>
      <c r="H33" s="77"/>
      <c r="I33" s="77"/>
      <c r="J33" s="77"/>
      <c r="K33" s="77"/>
      <c r="L33" s="77"/>
      <c r="M33" s="77"/>
      <c r="N33" s="77"/>
      <c r="O33" s="77"/>
      <c r="P33" s="77"/>
    </row>
    <row r="34" spans="1:16" ht="22" customHeight="1" x14ac:dyDescent="0.2">
      <c r="A34" s="77"/>
      <c r="B34" s="77"/>
      <c r="C34" s="77"/>
      <c r="D34" s="77"/>
      <c r="E34" s="77"/>
      <c r="F34" s="77"/>
      <c r="G34" s="77"/>
      <c r="H34" s="77"/>
      <c r="I34" s="77"/>
      <c r="J34" s="77"/>
      <c r="K34" s="77"/>
      <c r="L34" s="77"/>
      <c r="M34" s="77"/>
      <c r="N34" s="77"/>
      <c r="O34" s="77"/>
      <c r="P34" s="77"/>
    </row>
    <row r="35" spans="1:16" ht="22" customHeight="1" x14ac:dyDescent="0.2">
      <c r="A35" s="77"/>
      <c r="B35" s="77"/>
      <c r="C35" s="77"/>
      <c r="D35" s="77"/>
      <c r="E35" s="77"/>
      <c r="F35" s="77"/>
      <c r="G35" s="77"/>
      <c r="H35" s="77"/>
      <c r="I35" s="77"/>
      <c r="J35" s="77"/>
      <c r="K35" s="77"/>
      <c r="L35" s="77"/>
      <c r="M35" s="77"/>
      <c r="N35" s="77"/>
      <c r="O35" s="77"/>
      <c r="P35" s="77"/>
    </row>
    <row r="36" spans="1:16" ht="22" customHeight="1" x14ac:dyDescent="0.2">
      <c r="A36" s="77"/>
      <c r="B36" s="77"/>
      <c r="C36" s="77"/>
      <c r="D36" s="77"/>
      <c r="E36" s="77"/>
      <c r="F36" s="77"/>
      <c r="G36" s="77"/>
      <c r="H36" s="77"/>
      <c r="I36" s="77"/>
      <c r="J36" s="77"/>
      <c r="K36" s="77"/>
      <c r="L36" s="77"/>
      <c r="M36" s="77"/>
      <c r="N36" s="77"/>
      <c r="O36" s="77"/>
      <c r="P36" s="77"/>
    </row>
    <row r="37" spans="1:16" ht="22" customHeight="1" x14ac:dyDescent="0.2">
      <c r="A37" s="77"/>
      <c r="B37" s="77"/>
      <c r="C37" s="77"/>
      <c r="D37" s="77"/>
      <c r="E37" s="77"/>
      <c r="F37" s="77"/>
      <c r="G37" s="77"/>
      <c r="H37" s="77"/>
      <c r="I37" s="77"/>
      <c r="J37" s="77"/>
      <c r="K37" s="77"/>
      <c r="L37" s="77"/>
      <c r="M37" s="77"/>
      <c r="N37" s="77"/>
      <c r="O37" s="77"/>
      <c r="P37" s="77"/>
    </row>
    <row r="38" spans="1:16" ht="22" customHeight="1" x14ac:dyDescent="0.2">
      <c r="A38" s="77"/>
      <c r="B38" s="77"/>
      <c r="C38" s="77"/>
      <c r="D38" s="77"/>
      <c r="E38" s="77"/>
      <c r="F38" s="77"/>
      <c r="G38" s="77"/>
      <c r="H38" s="77"/>
      <c r="I38" s="77"/>
      <c r="J38" s="77"/>
      <c r="K38" s="77"/>
      <c r="L38" s="77"/>
      <c r="M38" s="77"/>
      <c r="N38" s="77"/>
      <c r="O38" s="77"/>
      <c r="P38" s="77"/>
    </row>
    <row r="39" spans="1:16" ht="22" customHeight="1" x14ac:dyDescent="0.2">
      <c r="A39" s="77"/>
      <c r="B39" s="77"/>
      <c r="C39" s="77"/>
      <c r="D39" s="77"/>
      <c r="E39" s="77"/>
      <c r="F39" s="77"/>
      <c r="G39" s="77"/>
      <c r="H39" s="77"/>
      <c r="I39" s="77"/>
      <c r="J39" s="77"/>
      <c r="K39" s="77"/>
      <c r="L39" s="77"/>
      <c r="M39" s="77"/>
      <c r="N39" s="77"/>
      <c r="O39" s="77"/>
      <c r="P39" s="77"/>
    </row>
    <row r="40" spans="1:16" ht="22" customHeight="1" x14ac:dyDescent="0.2">
      <c r="A40" s="77"/>
      <c r="B40" s="77"/>
      <c r="C40" s="77"/>
      <c r="D40" s="77"/>
      <c r="E40" s="77"/>
      <c r="F40" s="77"/>
      <c r="G40" s="77"/>
      <c r="H40" s="77"/>
      <c r="I40" s="77"/>
      <c r="J40" s="77"/>
      <c r="K40" s="77"/>
      <c r="L40" s="77"/>
      <c r="M40" s="77"/>
      <c r="N40" s="77"/>
      <c r="O40" s="77"/>
      <c r="P40" s="77"/>
    </row>
    <row r="41" spans="1:16" x14ac:dyDescent="0.2">
      <c r="A41" s="77"/>
      <c r="B41" s="77"/>
      <c r="C41" s="77"/>
      <c r="D41" s="77"/>
      <c r="E41" s="77"/>
      <c r="F41" s="77"/>
      <c r="G41" s="77"/>
      <c r="H41" s="77"/>
      <c r="I41" s="77"/>
      <c r="J41" s="77"/>
      <c r="K41" s="77"/>
      <c r="L41" s="77"/>
      <c r="M41" s="77"/>
      <c r="N41" s="77"/>
      <c r="O41" s="77"/>
      <c r="P41" s="77"/>
    </row>
    <row r="42" spans="1:16" x14ac:dyDescent="0.2">
      <c r="A42" s="77"/>
      <c r="B42" s="77"/>
      <c r="C42" s="77"/>
      <c r="D42" s="77"/>
      <c r="E42" s="77"/>
      <c r="F42" s="77"/>
      <c r="G42" s="77"/>
      <c r="H42" s="77"/>
      <c r="I42" s="77"/>
      <c r="J42" s="77"/>
      <c r="K42" s="77"/>
      <c r="L42" s="77"/>
      <c r="M42" s="77"/>
      <c r="N42" s="77"/>
      <c r="O42" s="77"/>
      <c r="P42" s="77"/>
    </row>
    <row r="43" spans="1:16" x14ac:dyDescent="0.2">
      <c r="A43" s="77"/>
      <c r="B43" s="77"/>
      <c r="C43" s="77"/>
      <c r="D43" s="77"/>
      <c r="E43" s="77"/>
      <c r="F43" s="77"/>
      <c r="G43" s="77"/>
      <c r="H43" s="77"/>
      <c r="I43" s="77"/>
      <c r="J43" s="77"/>
      <c r="K43" s="77"/>
      <c r="L43" s="77"/>
      <c r="M43" s="77"/>
      <c r="N43" s="77"/>
      <c r="O43" s="77"/>
      <c r="P43" s="77"/>
    </row>
    <row r="44" spans="1:16" x14ac:dyDescent="0.2">
      <c r="A44" s="77"/>
      <c r="B44" s="77"/>
      <c r="C44" s="77"/>
      <c r="D44" s="77"/>
      <c r="E44" s="77"/>
      <c r="F44" s="77"/>
      <c r="G44" s="77"/>
      <c r="H44" s="77"/>
      <c r="I44" s="77"/>
      <c r="J44" s="77"/>
      <c r="K44" s="77"/>
      <c r="L44" s="77"/>
      <c r="M44" s="77"/>
      <c r="N44" s="77"/>
      <c r="O44" s="77"/>
      <c r="P44" s="77"/>
    </row>
    <row r="45" spans="1:16" x14ac:dyDescent="0.2">
      <c r="A45" s="77"/>
      <c r="B45" s="77"/>
      <c r="C45" s="77"/>
      <c r="D45" s="77"/>
      <c r="E45" s="77"/>
      <c r="F45" s="77"/>
      <c r="G45" s="77"/>
      <c r="H45" s="77"/>
      <c r="I45" s="77"/>
      <c r="J45" s="77"/>
      <c r="K45" s="77"/>
      <c r="L45" s="77"/>
      <c r="M45" s="77"/>
      <c r="N45" s="77"/>
      <c r="O45" s="77"/>
      <c r="P45" s="77"/>
    </row>
    <row r="46" spans="1:16" x14ac:dyDescent="0.2">
      <c r="A46" s="77"/>
      <c r="B46" s="77"/>
      <c r="C46" s="77"/>
      <c r="D46" s="77"/>
      <c r="E46" s="77"/>
      <c r="F46" s="77"/>
      <c r="G46" s="77"/>
      <c r="H46" s="77"/>
      <c r="I46" s="77"/>
      <c r="J46" s="77"/>
      <c r="K46" s="77"/>
      <c r="L46" s="77"/>
      <c r="M46" s="77"/>
      <c r="N46" s="77"/>
      <c r="O46" s="77"/>
      <c r="P46" s="77"/>
    </row>
    <row r="47" spans="1:16" x14ac:dyDescent="0.2">
      <c r="A47" s="77"/>
      <c r="B47" s="77"/>
      <c r="C47" s="77"/>
      <c r="D47" s="77"/>
      <c r="E47" s="77"/>
      <c r="F47" s="77"/>
      <c r="G47" s="77"/>
      <c r="H47" s="77"/>
      <c r="I47" s="77"/>
      <c r="J47" s="77"/>
      <c r="K47" s="77"/>
      <c r="L47" s="77"/>
      <c r="M47" s="77"/>
      <c r="N47" s="77"/>
      <c r="O47" s="77"/>
      <c r="P47" s="77"/>
    </row>
    <row r="48" spans="1:16" x14ac:dyDescent="0.2">
      <c r="A48" s="77"/>
      <c r="B48" s="77"/>
      <c r="C48" s="77"/>
      <c r="D48" s="77"/>
      <c r="E48" s="77"/>
      <c r="F48" s="77"/>
      <c r="G48" s="77"/>
      <c r="H48" s="77"/>
      <c r="I48" s="77"/>
      <c r="J48" s="77"/>
      <c r="K48" s="77"/>
      <c r="L48" s="77"/>
      <c r="M48" s="77"/>
      <c r="N48" s="77"/>
      <c r="O48" s="77"/>
      <c r="P48" s="77"/>
    </row>
    <row r="49" spans="1:16" x14ac:dyDescent="0.2">
      <c r="A49" s="77"/>
      <c r="B49" s="77"/>
      <c r="C49" s="77"/>
      <c r="D49" s="77"/>
      <c r="E49" s="77"/>
      <c r="F49" s="77"/>
      <c r="G49" s="77"/>
      <c r="H49" s="77"/>
      <c r="I49" s="77"/>
      <c r="J49" s="77"/>
      <c r="K49" s="77"/>
      <c r="L49" s="77"/>
      <c r="M49" s="77"/>
      <c r="N49" s="77"/>
      <c r="O49" s="77"/>
      <c r="P49" s="77"/>
    </row>
    <row r="50" spans="1:16" x14ac:dyDescent="0.2">
      <c r="A50" s="77"/>
      <c r="B50" s="77"/>
      <c r="C50" s="77"/>
      <c r="D50" s="77"/>
      <c r="E50" s="77"/>
      <c r="F50" s="77"/>
      <c r="G50" s="77"/>
      <c r="H50" s="77"/>
      <c r="I50" s="77"/>
      <c r="J50" s="77"/>
      <c r="K50" s="77"/>
      <c r="L50" s="77"/>
      <c r="M50" s="77"/>
      <c r="N50" s="77"/>
      <c r="O50" s="77"/>
      <c r="P50" s="77"/>
    </row>
    <row r="51" spans="1:16" x14ac:dyDescent="0.2">
      <c r="A51" s="77"/>
      <c r="B51" s="77"/>
      <c r="C51" s="77"/>
      <c r="D51" s="77"/>
      <c r="E51" s="77"/>
      <c r="F51" s="77"/>
      <c r="G51" s="77"/>
      <c r="H51" s="77"/>
      <c r="I51" s="77"/>
      <c r="J51" s="77"/>
      <c r="K51" s="77"/>
      <c r="L51" s="77"/>
      <c r="M51" s="77"/>
      <c r="N51" s="77"/>
      <c r="O51" s="77"/>
      <c r="P51" s="77"/>
    </row>
    <row r="52" spans="1:16" x14ac:dyDescent="0.2">
      <c r="A52" s="77"/>
      <c r="B52" s="77"/>
      <c r="C52" s="77"/>
      <c r="D52" s="77"/>
      <c r="E52" s="77"/>
      <c r="F52" s="77"/>
      <c r="G52" s="77"/>
      <c r="H52" s="77"/>
      <c r="I52" s="77"/>
      <c r="J52" s="77"/>
      <c r="K52" s="77"/>
      <c r="L52" s="77"/>
      <c r="M52" s="77"/>
      <c r="N52" s="77"/>
      <c r="O52" s="77"/>
      <c r="P52" s="77"/>
    </row>
    <row r="53" spans="1:16" x14ac:dyDescent="0.2">
      <c r="A53" s="77"/>
      <c r="B53" s="77"/>
      <c r="C53" s="77"/>
      <c r="D53" s="77"/>
      <c r="E53" s="77"/>
      <c r="F53" s="77"/>
      <c r="G53" s="77"/>
      <c r="H53" s="77"/>
      <c r="I53" s="77"/>
      <c r="J53" s="77"/>
      <c r="K53" s="77"/>
      <c r="L53" s="77"/>
      <c r="M53" s="77"/>
      <c r="N53" s="77"/>
      <c r="O53" s="77"/>
      <c r="P53" s="77"/>
    </row>
    <row r="54" spans="1:16" x14ac:dyDescent="0.2">
      <c r="A54" s="77"/>
      <c r="B54" s="77"/>
      <c r="C54" s="77"/>
      <c r="D54" s="77"/>
      <c r="E54" s="77"/>
      <c r="F54" s="77"/>
      <c r="G54" s="77"/>
      <c r="H54" s="77"/>
      <c r="I54" s="77"/>
      <c r="J54" s="77"/>
      <c r="K54" s="77"/>
      <c r="L54" s="77"/>
      <c r="M54" s="77"/>
      <c r="N54" s="77"/>
      <c r="O54" s="77"/>
      <c r="P54" s="77"/>
    </row>
    <row r="55" spans="1:16" x14ac:dyDescent="0.2">
      <c r="A55" s="77"/>
      <c r="B55" s="77"/>
      <c r="C55" s="77"/>
      <c r="D55" s="77"/>
      <c r="E55" s="77"/>
      <c r="F55" s="77"/>
      <c r="G55" s="77"/>
      <c r="H55" s="77"/>
      <c r="I55" s="77"/>
      <c r="J55" s="77"/>
      <c r="K55" s="77"/>
      <c r="L55" s="77"/>
      <c r="M55" s="77"/>
      <c r="N55" s="77"/>
      <c r="O55" s="77"/>
      <c r="P55" s="77"/>
    </row>
    <row r="56" spans="1:16" x14ac:dyDescent="0.2">
      <c r="A56" s="77"/>
      <c r="B56" s="77"/>
      <c r="C56" s="77"/>
      <c r="D56" s="77"/>
      <c r="E56" s="77"/>
      <c r="F56" s="77"/>
      <c r="G56" s="77"/>
      <c r="H56" s="77"/>
      <c r="I56" s="77"/>
      <c r="J56" s="77"/>
      <c r="K56" s="77"/>
      <c r="L56" s="77"/>
      <c r="M56" s="77"/>
      <c r="N56" s="77"/>
      <c r="O56" s="77"/>
      <c r="P56" s="77"/>
    </row>
    <row r="57" spans="1:16" x14ac:dyDescent="0.2">
      <c r="A57" s="77"/>
      <c r="B57" s="77"/>
      <c r="C57" s="77"/>
      <c r="D57" s="77"/>
      <c r="E57" s="77"/>
      <c r="F57" s="77"/>
      <c r="G57" s="77"/>
      <c r="H57" s="77"/>
      <c r="I57" s="77"/>
      <c r="J57" s="77"/>
      <c r="K57" s="77"/>
      <c r="L57" s="77"/>
      <c r="M57" s="77"/>
      <c r="N57" s="77"/>
      <c r="O57" s="77"/>
      <c r="P57" s="77"/>
    </row>
    <row r="58" spans="1:16" x14ac:dyDescent="0.2">
      <c r="A58" s="77"/>
      <c r="B58" s="77"/>
      <c r="C58" s="77"/>
      <c r="D58" s="77"/>
      <c r="E58" s="77"/>
      <c r="F58" s="77"/>
      <c r="G58" s="77"/>
      <c r="H58" s="77"/>
      <c r="I58" s="77"/>
      <c r="J58" s="77"/>
      <c r="K58" s="77"/>
      <c r="L58" s="77"/>
      <c r="M58" s="77"/>
      <c r="N58" s="77"/>
      <c r="O58" s="77"/>
      <c r="P58" s="77"/>
    </row>
    <row r="59" spans="1:16" x14ac:dyDescent="0.2">
      <c r="A59" s="77"/>
      <c r="B59" s="77"/>
      <c r="C59" s="77"/>
      <c r="D59" s="77"/>
      <c r="E59" s="77"/>
      <c r="F59" s="77"/>
      <c r="G59" s="77"/>
      <c r="H59" s="77"/>
      <c r="I59" s="77"/>
      <c r="J59" s="77"/>
      <c r="K59" s="77"/>
      <c r="L59" s="77"/>
      <c r="M59" s="77"/>
      <c r="N59" s="77"/>
      <c r="O59" s="77"/>
      <c r="P59" s="77"/>
    </row>
    <row r="60" spans="1:16" x14ac:dyDescent="0.2">
      <c r="A60" s="77"/>
      <c r="B60" s="77"/>
      <c r="C60" s="77"/>
      <c r="D60" s="77"/>
      <c r="E60" s="77"/>
      <c r="F60" s="77"/>
      <c r="G60" s="77"/>
      <c r="H60" s="77"/>
      <c r="I60" s="77"/>
      <c r="J60" s="77"/>
      <c r="K60" s="77"/>
      <c r="L60" s="77"/>
      <c r="M60" s="77"/>
      <c r="N60" s="77"/>
      <c r="O60" s="77"/>
      <c r="P60" s="77"/>
    </row>
    <row r="61" spans="1:16" x14ac:dyDescent="0.2">
      <c r="A61" s="77"/>
      <c r="B61" s="77"/>
      <c r="C61" s="77"/>
      <c r="D61" s="77"/>
      <c r="E61" s="77"/>
      <c r="F61" s="77"/>
      <c r="G61" s="77"/>
      <c r="H61" s="77"/>
      <c r="I61" s="77"/>
      <c r="J61" s="77"/>
      <c r="K61" s="77"/>
      <c r="L61" s="77"/>
      <c r="M61" s="77"/>
      <c r="N61" s="77"/>
      <c r="O61" s="77"/>
      <c r="P61" s="77"/>
    </row>
    <row r="62" spans="1:16" x14ac:dyDescent="0.2">
      <c r="O62" s="49"/>
      <c r="P62" s="49"/>
    </row>
    <row r="63" spans="1:16" x14ac:dyDescent="0.2">
      <c r="O63" s="49"/>
      <c r="P63" s="49"/>
    </row>
    <row r="64" spans="1:16"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U/explorer/revenue_proj" xr:uid="{C2297361-7ECE-0547-BC6A-9C88E4A1A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2023-11-10T06:43:27Z</dcterms:modified>
</cp:coreProperties>
</file>