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4C0D8A22-9F11-2A41-A27E-3F72C4765D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5" i="1" l="1"/>
  <c r="Z105" i="1"/>
  <c r="Y105" i="1"/>
  <c r="X105" i="1"/>
  <c r="W105" i="1"/>
  <c r="AB7" i="1"/>
  <c r="W6" i="1"/>
  <c r="Z109" i="1"/>
  <c r="AE7" i="1" l="1"/>
  <c r="AD7" i="1"/>
  <c r="AC7" i="1"/>
  <c r="AC22" i="1"/>
  <c r="W109" i="1"/>
  <c r="X109" i="1"/>
  <c r="Y109" i="1"/>
  <c r="AA106" i="1"/>
  <c r="Z106" i="1"/>
  <c r="Y106" i="1"/>
  <c r="X106" i="1"/>
  <c r="W106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E13" i="1"/>
  <c r="AC13" i="1"/>
  <c r="AB13" i="1"/>
  <c r="AB10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AB106" i="1" l="1"/>
  <c r="C108" i="2"/>
  <c r="D105" i="2"/>
  <c r="K16" i="2"/>
  <c r="I16" i="2"/>
  <c r="J102" i="2"/>
  <c r="J19" i="2"/>
  <c r="J16" i="2"/>
  <c r="J22" i="2"/>
  <c r="K19" i="2"/>
  <c r="K22" i="2"/>
  <c r="I19" i="2"/>
  <c r="J100" i="2"/>
  <c r="D112" i="2"/>
  <c r="C105" i="1"/>
  <c r="D105" i="1"/>
  <c r="J105" i="1"/>
  <c r="K105" i="1"/>
  <c r="L105" i="1"/>
  <c r="R105" i="1"/>
  <c r="S105" i="1"/>
  <c r="T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7" i="1" a="1"/>
  <c r="X117" i="1" s="1"/>
  <c r="AD102" i="1" a="1"/>
  <c r="AD102" i="1" s="1"/>
  <c r="AE22" i="1" s="1"/>
  <c r="AD96" i="1" a="1"/>
  <c r="AD96" i="1" s="1"/>
  <c r="AB19" i="1"/>
  <c r="X115" i="1"/>
  <c r="X112" i="1"/>
  <c r="AD92" i="1"/>
  <c r="E105" i="1" s="1"/>
  <c r="AD91" i="1"/>
  <c r="AD90" i="1"/>
  <c r="AD88" i="1"/>
  <c r="AD89" i="1" s="1"/>
  <c r="AD93" i="1" s="1"/>
  <c r="AD87" i="1"/>
  <c r="AD100" i="1" s="1"/>
  <c r="AD86" i="1"/>
  <c r="AB16" i="1"/>
  <c r="AD13" i="1"/>
  <c r="AE10" i="1"/>
  <c r="AD10" i="1"/>
  <c r="AC10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4" i="1"/>
  <c r="D4" i="1"/>
  <c r="C4" i="1"/>
  <c r="Q105" i="1" l="1"/>
  <c r="I105" i="1"/>
  <c r="P105" i="1"/>
  <c r="H105" i="1"/>
  <c r="O105" i="1"/>
  <c r="G105" i="1"/>
  <c r="V105" i="1"/>
  <c r="N105" i="1"/>
  <c r="F105" i="1"/>
  <c r="U105" i="1"/>
  <c r="M105" i="1"/>
  <c r="D108" i="2"/>
  <c r="E105" i="2"/>
  <c r="AD19" i="1"/>
  <c r="AD22" i="1"/>
  <c r="AC19" i="1"/>
  <c r="AD16" i="1"/>
  <c r="AE16" i="1"/>
  <c r="AC16" i="1"/>
  <c r="AD107" i="1"/>
  <c r="X113" i="1"/>
  <c r="AD104" i="1"/>
  <c r="AD103" i="1" s="1"/>
  <c r="E108" i="2" l="1"/>
  <c r="F105" i="2"/>
  <c r="AE19" i="1"/>
  <c r="AD101" i="1"/>
  <c r="F108" i="2" l="1"/>
  <c r="G105" i="2"/>
  <c r="J94" i="2" l="1"/>
  <c r="J97" i="2" s="1"/>
  <c r="J105" i="2" s="1"/>
  <c r="J108" i="2" s="1"/>
  <c r="D110" i="2" l="1"/>
  <c r="D113" i="2" s="1"/>
  <c r="D115" i="2" s="1"/>
  <c r="G107" i="2"/>
  <c r="G108" i="2" s="1"/>
  <c r="D118" i="2" l="1"/>
  <c r="D117" i="2"/>
  <c r="AD95" i="1" l="1"/>
  <c r="AD98" i="1" s="1"/>
  <c r="AD106" i="1" s="1"/>
  <c r="AD109" i="1" s="1"/>
  <c r="AA108" i="1" s="1"/>
  <c r="AA109" i="1" s="1"/>
  <c r="X111" i="1" s="1"/>
  <c r="X114" i="1" s="1"/>
  <c r="X116" i="1" s="1"/>
  <c r="X119" i="1" l="1"/>
  <c r="X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<sst xmlns="http://schemas.openxmlformats.org/spreadsheetml/2006/main" count="1033" uniqueCount="171">
  <si>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</si>
  <si>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</si>
  <si>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</si>
  <si>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</si>
  <si>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</si>
  <si>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</si>
  <si>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</si>
  <si>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</si>
  <si>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</si>
  <si>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</si>
  <si>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</si>
  <si>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</si>
  <si>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</si>
  <si>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</si>
  <si>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</si>
  <si>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</si>
  <si>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</si>
  <si>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</si>
  <si>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</si>
  <si>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</si>
  <si>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</si>
  <si>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</si>
  <si>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</si>
  <si>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</si>
  <si>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</si>
  <si>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</si>
  <si>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</si>
  <si>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</si>
  <si>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</si>
  <si>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</si>
  <si>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</si>
  <si>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</si>
  <si>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</si>
  <si>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</si>
  <si>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</si>
  <si>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</si>
  <si>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</si>
  <si>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</si>
  <si>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</si>
  <si>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</si>
  <si>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</si>
  <si>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</si>
  <si>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</si>
  <si>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</si>
  <si>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</si>
  <si>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</si>
  <si>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</si>
  <si>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</si>
  <si>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</si>
  <si>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</si>
  <si>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</si>
  <si>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</si>
  <si>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</si>
  <si>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</si>
  <si>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</si>
  <si>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</si>
  <si>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</si>
  <si>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</si>
  <si>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</si>
  <si>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</si>
  <si>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</si>
  <si>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</si>
  <si>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</si>
  <si>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</si>
  <si>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</si>
  <si>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</si>
  <si>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</si>
  <si>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</si>
  <si>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</si>
  <si>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</si>
  <si>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</si>
  <si>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</si>
  <si>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</si>
  <si>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</si>
  <si>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</si>
  <si>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</si>
  <si>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</si>
  <si>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</si>
  <si>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</si>
  <si>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</si>
  <si>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</si>
  <si>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</si>
  <si>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</si>
  <si>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</si>
  <si>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</si>
  <si>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</si>
  <si>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</si>
  <si>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</si>
  <si>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</si>
  <si>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</si>
  <si>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</si>
  <si>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</si>
  <si>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</si>
  <si>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</si>
  <si>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</si>
  <si>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</si>
  <si>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</si>
  <si>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</si>
  <si>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</si>
  <si>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</si>
  <si>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</si>
  <si>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</si>
  <si>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</si>
  <si>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</si>
  <si>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</si>
  <si>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</si>
  <si>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</si>
  <si>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</si>
  <si>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</si>
  <si>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</si>
  <si>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</si>
  <si>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</si>
  <si>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</si>
  <si>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</si>
  <si>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</si>
  <si>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</si>
  <si>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</si>
  <si>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</si>
  <si>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</si>
  <si>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</si>
  <si>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</si>
  <si>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</si>
  <si>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</si>
  <si>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</si>
  <si>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</si>
  <si>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</si>
  <si>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</si>
  <si>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</si>
  <si>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</si>
  <si>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</si>
  <si>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</si>
  <si>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</si>
  <si>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</si>
  <si>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</si>
  <si>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</si>
  <si>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</si>
  <si>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</si>
  <si>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</si>
  <si>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</si>
  <si>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</si>
  <si>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</si>
  <si>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</si>
  <si>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</si>
  <si>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</si>
  <si>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</si>
  <si>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</si>
  <si>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</si>
  <si>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</si>
  <si>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</si>
  <si>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</si>
  <si>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</si>
  <si>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</si>
  <si>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</si>
  <si>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</si>
  <si>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</si>
  <si>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</si>
  <si>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</si>
  <si>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</si>
  <si>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</si>
  <si>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</si>
  <si>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</si>
  <si>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</si>
  <si>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</si>
  <si>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</si>
  <si>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</si>
  <si>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</si>
  <si>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</si>
  <si>
    <t>5Y Fwd FCF CAGR</t>
  </si>
  <si>
    <t>Forward FCF Yield</t>
  </si>
  <si>
    <t>5Y Fwd Income CAGR</t>
  </si>
  <si>
    <t>5Y Fwd Revenue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</si>
</sst>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vertical="center"/>
    </xf>
    <xf numFmtId="164" fontId="1" fillId="7" borderId="0" xfId="0" applyNumberFormat="1" applyFont="1" applyFill="1" applyAlignment="1">
      <alignment vertical="center"/>
    </xf>
    <xf numFmtId="0" fontId="0" fillId="6" borderId="0" xfId="0" applyFill="1" applyAlignment="1">
      <alignment horizontal="left" vertical="center"/>
    </xf>
    <xf numFmtId="0" fontId="13" fillId="3" borderId="7" xfId="0" applyFont="1" applyFill="1" applyBorder="1" applyAlignment="1">
      <alignment horizontal="center" vertical="center" wrapText="1"/>
    </xf>
    <xf numFmtId="9" fontId="16" fillId="6" borderId="0" xfId="0" applyNumberFormat="1" applyFont="1" applyFill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164" fontId="11" fillId="6" borderId="0" xfId="0" applyNumberFormat="1" applyFont="1" applyFill="1" applyAlignment="1">
      <alignment vertical="center"/>
    </xf>
    <xf numFmtId="10" fontId="12" fillId="6" borderId="0" xfId="0" applyNumberFormat="1" applyFont="1" applyFill="1" applyAlignment="1">
      <alignment vertical="center"/>
    </xf>
    <xf numFmtId="10" fontId="11" fillId="6" borderId="0" xfId="0" applyNumberFormat="1" applyFont="1" applyFill="1" applyAlignment="1">
      <alignment vertical="center"/>
    </xf>
    <xf numFmtId="39" fontId="1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4" fontId="12" fillId="6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vertical="center" wrapText="1"/>
    </xf>
    <xf numFmtId="167" fontId="12" fillId="4" borderId="0" xfId="0" applyNumberFormat="1" applyFont="1" applyFill="1" applyAlignment="1">
      <alignment vertical="center"/>
    </xf>
    <xf numFmtId="167" fontId="1" fillId="6" borderId="0" xfId="0" applyNumberFormat="1" applyFont="1" applyFill="1" applyAlignment="1">
      <alignment vertical="center"/>
    </xf>
    <xf numFmtId="9" fontId="12" fillId="4" borderId="0" xfId="1" applyFont="1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13" fillId="3" borderId="6" xfId="0" applyFont="1" applyFill="1" applyBorder="1" applyAlignment="1">
      <alignment horizontal="center" vertical="center" wrapText="1"/>
    </xf>
    <xf numFmtId="10" fontId="11" fillId="6" borderId="0" xfId="0" applyNumberFormat="1" applyFont="1" applyFill="1"/>
    <xf numFmtId="165" fontId="10" fillId="6" borderId="0" xfId="0" applyNumberFormat="1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 Beauty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615894039735E-2"/>
          <c:y val="0.15621070450936791"/>
          <c:w val="0.84796026490066234"/>
          <c:h val="0.638043954617020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1'!$B$3:$AA$3</c:f>
              <c:numCache>
                <c:formatCode>#,###,,;\(#,###,,\);\ \-\ \-</c:formatCode>
                <c:ptCount val="26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  <c:pt idx="21">
                  <c:v>11147000000</c:v>
                </c:pt>
                <c:pt idx="22">
                  <c:v>11699000000</c:v>
                </c:pt>
                <c:pt idx="23">
                  <c:v>12386000000</c:v>
                </c:pt>
                <c:pt idx="24">
                  <c:v>12902000000</c:v>
                </c:pt>
                <c:pt idx="25">
                  <c:v>13647000000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9-2F48-AE90-6CFDFE128092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1'!$B$28:$AA$28</c:f>
              <c:numCache>
                <c:formatCode>#,###,,;\(#,###,,\);\ \-\ \-</c:formatCode>
                <c:ptCount val="26"/>
                <c:pt idx="0">
                  <c:v>9696000</c:v>
                </c:pt>
                <c:pt idx="1">
                  <c:v>5084000</c:v>
                </c:pt>
                <c:pt idx="2">
                  <c:v>9460000</c:v>
                </c:pt>
                <c:pt idx="3">
                  <c:v>15969000</c:v>
                </c:pt>
                <c:pt idx="4">
                  <c:v>22543000</c:v>
                </c:pt>
                <c:pt idx="5">
                  <c:v>25335000</c:v>
                </c:pt>
                <c:pt idx="6">
                  <c:v>25268000</c:v>
                </c:pt>
                <c:pt idx="7">
                  <c:v>39356000</c:v>
                </c:pt>
                <c:pt idx="8">
                  <c:v>71030000</c:v>
                </c:pt>
                <c:pt idx="9">
                  <c:v>120264000</c:v>
                </c:pt>
                <c:pt idx="10">
                  <c:v>172549000</c:v>
                </c:pt>
                <c:pt idx="11">
                  <c:v>202849000</c:v>
                </c:pt>
                <c:pt idx="12">
                  <c:v>257135000</c:v>
                </c:pt>
                <c:pt idx="13">
                  <c:v>320008000</c:v>
                </c:pt>
                <c:pt idx="14">
                  <c:v>409760000</c:v>
                </c:pt>
                <c:pt idx="15">
                  <c:v>555234000</c:v>
                </c:pt>
                <c:pt idx="16">
                  <c:v>658559000</c:v>
                </c:pt>
                <c:pt idx="17">
                  <c:v>705945000</c:v>
                </c:pt>
                <c:pt idx="18">
                  <c:v>175835000</c:v>
                </c:pt>
                <c:pt idx="19">
                  <c:v>985837000</c:v>
                </c:pt>
                <c:pt idx="20">
                  <c:v>1242408000</c:v>
                </c:pt>
                <c:pt idx="21">
                  <c:v>1254000000</c:v>
                </c:pt>
                <c:pt idx="22">
                  <c:v>1301000000</c:v>
                </c:pt>
                <c:pt idx="23">
                  <c:v>1385000000</c:v>
                </c:pt>
                <c:pt idx="24">
                  <c:v>1450000000</c:v>
                </c:pt>
                <c:pt idx="25">
                  <c:v>1535000000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9-2F48-AE90-6CFDFE128092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1'!$B$107:$AA$107</c:f>
              <c:numCache>
                <c:formatCode>#,###,,;\(#,###,,\);\ \-\ \-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  <c:pt idx="21">
                  <c:v>981600000</c:v>
                </c:pt>
                <c:pt idx="22">
                  <c:v>1074000000</c:v>
                </c:pt>
                <c:pt idx="23">
                  <c:v>1143000000</c:v>
                </c:pt>
                <c:pt idx="24">
                  <c:v>1271000000</c:v>
                </c:pt>
                <c:pt idx="25">
                  <c:v>1346000000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9-2F48-AE90-6CFDFE12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348719"/>
        <c:axId val="890455295"/>
      </c:barChart>
      <c:catAx>
        <c:axId val="8633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55295"/>
        <c:crosses val="autoZero"/>
        <c:auto val="1"/>
        <c:lblAlgn val="ctr"/>
        <c:lblOffset val="100"/>
        <c:noMultiLvlLbl val="0"/>
      </c:catAx>
      <c:valAx>
        <c:axId val="8904552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85008082598945"/>
          <c:y val="0.89845090432738528"/>
          <c:w val="0.31429983834802105"/>
          <c:h val="6.2140223974151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109</xdr:row>
      <xdr:rowOff>17463</xdr:rowOff>
    </xdr:from>
    <xdr:to>
      <xdr:col>30</xdr:col>
      <xdr:colOff>31750</xdr:colOff>
      <xdr:row>127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C39C74-35B4-4BBB-8E1E-5994A57D2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Full Portfolio"/>
      <sheetName val="Full Portfolio (Concentrated)"/>
      <sheetName val="Growth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4.9880000000000008E-2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369.84</v>
    <v>1.3653999999999999</v>
    <v>-1.01</v>
    <v>-2.7089999999999996E-3</v>
    <v>-0.06</v>
    <v>-1.6140000000000002E-4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375.88</v>
    <v>Specialty Retailers</v>
    <v>Stock</v>
    <v>45219.99123592578</v>
    <v>0</v>
    <v>369.88</v>
    <v>18305673502</v>
    <v>ULTA BEAUTY, INC.</v>
    <v>ULTA BEAUTY, INC.</v>
    <v>373.87</v>
    <v>14.968400000000001</v>
    <v>372.86</v>
    <v>371.85</v>
    <v>371.79</v>
    <v>49228650</v>
    <v>ULTA</v>
    <v>ULTA BEAUTY, INC. (XNAS:ULTA)</v>
    <v>674462</v>
    <v>772271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"/>
  <sheetViews>
    <sheetView tabSelected="1" zoomScale="80" zoomScaleNormal="80" workbookViewId="0">
      <pane xSplit="1" ySplit="1" topLeftCell="S97" activePane="bottomRight" state="frozen"/>
      <selection pane="topRight"/>
      <selection pane="bottomLeft"/>
      <selection pane="bottomRight" activeCell="V111" sqref="V111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2028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11147000000</v>
      </c>
      <c r="X3" s="26">
        <v>11699000000</v>
      </c>
      <c r="Y3" s="26">
        <v>12386000000</v>
      </c>
      <c r="Z3" s="26">
        <v>12902000000</v>
      </c>
      <c r="AA3" s="26">
        <v>13647000000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V4" si="0">(F3/E3)-1</f>
        <v>0.30399861848637921</v>
      </c>
      <c r="G4" s="15">
        <f t="shared" si="0"/>
        <v>0.20795298187158751</v>
      </c>
      <c r="H4" s="15">
        <f t="shared" si="0"/>
        <v>0.18912098019933321</v>
      </c>
      <c r="I4" s="15">
        <f t="shared" si="0"/>
        <v>0.12734569619949743</v>
      </c>
      <c r="J4" s="15">
        <f t="shared" si="0"/>
        <v>0.18978778528440721</v>
      </c>
      <c r="K4" s="15">
        <f t="shared" si="0"/>
        <v>0.22085826738097292</v>
      </c>
      <c r="L4" s="15">
        <f t="shared" si="0"/>
        <v>0.25003786277180273</v>
      </c>
      <c r="M4" s="15">
        <f t="shared" si="0"/>
        <v>0.20282210700027381</v>
      </c>
      <c r="N4" s="15">
        <f t="shared" si="0"/>
        <v>0.2137354043495534</v>
      </c>
      <c r="O4" s="15">
        <f t="shared" si="0"/>
        <v>0.21063538276573879</v>
      </c>
      <c r="P4" s="15">
        <f t="shared" si="0"/>
        <v>0.23715430430700835</v>
      </c>
      <c r="Q4" s="15">
        <f t="shared" si="0"/>
        <v>0.21211633091555737</v>
      </c>
      <c r="R4" s="15">
        <f t="shared" si="0"/>
        <v>0.14140677229320531</v>
      </c>
      <c r="S4" s="15">
        <f t="shared" si="0"/>
        <v>0.10145780277714289</v>
      </c>
      <c r="T4" s="15">
        <f t="shared" si="0"/>
        <v>-0.16843789486660576</v>
      </c>
      <c r="U4" s="15">
        <f t="shared" si="0"/>
        <v>0.40295106285759985</v>
      </c>
      <c r="V4" s="15">
        <f t="shared" si="0"/>
        <v>0.18272868530692499</v>
      </c>
      <c r="W4" s="16">
        <f t="shared" ref="W4:AA4" si="1">(W3/V3)-1</f>
        <v>9.1986677115987403E-2</v>
      </c>
      <c r="X4" s="16">
        <f t="shared" si="1"/>
        <v>4.9520050237732205E-2</v>
      </c>
      <c r="Y4" s="16">
        <f t="shared" si="1"/>
        <v>5.8722967775023616E-2</v>
      </c>
      <c r="Z4" s="16">
        <f t="shared" si="1"/>
        <v>4.1659938640400407E-2</v>
      </c>
      <c r="AA4" s="16">
        <f t="shared" si="1"/>
        <v>5.7742985583630446E-2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W6" s="59">
        <f>W3*W7</f>
        <v>4378541600</v>
      </c>
      <c r="AB6" s="101" t="s">
        <v>112</v>
      </c>
      <c r="AC6" s="84" t="s">
        <v>113</v>
      </c>
      <c r="AD6" s="84" t="s">
        <v>114</v>
      </c>
      <c r="AE6" s="84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W7" s="2">
        <v>0.39279999999999998</v>
      </c>
      <c r="AB7" s="17">
        <f>W7</f>
        <v>0.39279999999999998</v>
      </c>
      <c r="AC7" s="20">
        <f>W21</f>
        <v>0.16847582309141473</v>
      </c>
      <c r="AD7" s="20">
        <f>W30</f>
        <v>0.11249663586615233</v>
      </c>
      <c r="AE7" s="20">
        <f>W107/W3</f>
        <v>8.805956759666278E-2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2">C8/C3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  <c r="L9" s="15">
        <f t="shared" si="2"/>
        <v>0</v>
      </c>
      <c r="M9" s="15">
        <f t="shared" si="2"/>
        <v>0</v>
      </c>
      <c r="N9" s="15">
        <f t="shared" si="2"/>
        <v>0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3">C12/C3</f>
        <v>0.23225900821727774</v>
      </c>
      <c r="D13" s="15" t="e">
        <f t="shared" si="3"/>
        <v>#VALUE!</v>
      </c>
      <c r="E13" s="15">
        <f t="shared" si="3"/>
        <v>0.2501523982213012</v>
      </c>
      <c r="F13" s="15">
        <f t="shared" si="3"/>
        <v>0.25836662857082315</v>
      </c>
      <c r="G13" s="15">
        <f t="shared" si="3"/>
        <v>0.25974602610780573</v>
      </c>
      <c r="H13" s="15">
        <f t="shared" si="3"/>
        <v>0.25965430195658307</v>
      </c>
      <c r="I13" s="15">
        <f t="shared" si="3"/>
        <v>0.24934840620197896</v>
      </c>
      <c r="J13" s="15">
        <f t="shared" si="3"/>
        <v>0.25102520005663859</v>
      </c>
      <c r="K13" s="15">
        <f t="shared" si="3"/>
        <v>0.23120669357503951</v>
      </c>
      <c r="L13" s="15">
        <f t="shared" si="3"/>
        <v>0.22019082484182004</v>
      </c>
      <c r="M13" s="15">
        <f t="shared" si="3"/>
        <v>0.22331911541081259</v>
      </c>
      <c r="N13" s="15">
        <f t="shared" si="3"/>
        <v>0.21966212424441647</v>
      </c>
      <c r="O13" s="15">
        <f t="shared" si="3"/>
        <v>0.22001235437484518</v>
      </c>
      <c r="P13" s="15">
        <f t="shared" si="3"/>
        <v>0.22119303270187449</v>
      </c>
      <c r="Q13" s="15">
        <f t="shared" si="3"/>
        <v>0.21874937335436484</v>
      </c>
      <c r="R13" s="15">
        <f t="shared" si="3"/>
        <v>0.22860682054874368</v>
      </c>
      <c r="S13" s="15">
        <f t="shared" si="3"/>
        <v>0.23799673103842786</v>
      </c>
      <c r="T13" s="15">
        <f t="shared" si="3"/>
        <v>0.25731942360417903</v>
      </c>
      <c r="U13" s="15">
        <f t="shared" si="3"/>
        <v>0.23885662299677357</v>
      </c>
      <c r="V13" s="15">
        <f t="shared" si="3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AD102/V3</f>
        <v>1.7932673885188088</v>
      </c>
      <c r="AD16" s="64">
        <f>AD102/V28</f>
        <v>14.734027390358079</v>
      </c>
      <c r="AE16" s="65">
        <f>AD102/V107</f>
        <v>15.645874788034188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1878000000</v>
      </c>
      <c r="X19" s="59">
        <v>1947000000</v>
      </c>
      <c r="Y19" s="59">
        <v>2096000000</v>
      </c>
      <c r="Z19" s="59">
        <v>2281000000</v>
      </c>
      <c r="AA19" s="59">
        <v>2420000000</v>
      </c>
      <c r="AB19" s="46">
        <f>V40-V56-V61</f>
        <v>-1165299000</v>
      </c>
      <c r="AC19" s="64">
        <f>AD102/W3</f>
        <v>1.6422062888669597</v>
      </c>
      <c r="AD19" s="66">
        <f>AD102/W28</f>
        <v>14.597825759170654</v>
      </c>
      <c r="AE19" s="65">
        <f>AD102/W107</f>
        <v>18.64881163610432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4">(F19/E19)-1</f>
        <v>0.36408384265146232</v>
      </c>
      <c r="G20" s="15">
        <f t="shared" si="4"/>
        <v>0.22811607277101187</v>
      </c>
      <c r="H20" s="15">
        <f t="shared" si="4"/>
        <v>0.19666511593741576</v>
      </c>
      <c r="I20" s="15">
        <f t="shared" si="4"/>
        <v>0.3332412579542896</v>
      </c>
      <c r="J20" s="15">
        <f t="shared" si="4"/>
        <v>0.4105387549014341</v>
      </c>
      <c r="K20" s="15">
        <f t="shared" si="4"/>
        <v>0.4803938635621805</v>
      </c>
      <c r="L20" s="15">
        <f t="shared" si="4"/>
        <v>0.35309011266839629</v>
      </c>
      <c r="M20" s="15">
        <f t="shared" si="4"/>
        <v>0.17896260567989541</v>
      </c>
      <c r="N20" s="15">
        <f t="shared" si="4"/>
        <v>0.25307124741135256</v>
      </c>
      <c r="O20" s="15">
        <f t="shared" si="4"/>
        <v>0.23836923931047282</v>
      </c>
      <c r="P20" s="15">
        <f t="shared" si="4"/>
        <v>0.28690293810270306</v>
      </c>
      <c r="Q20" s="15">
        <f t="shared" si="4"/>
        <v>0.20099342599310877</v>
      </c>
      <c r="R20" s="15">
        <f t="shared" si="4"/>
        <v>9.8482432717982293E-2</v>
      </c>
      <c r="S20" s="15">
        <f t="shared" si="4"/>
        <v>5.5200170678007865E-2</v>
      </c>
      <c r="T20" s="15">
        <f t="shared" si="4"/>
        <v>-0.56652317482940484</v>
      </c>
      <c r="U20" s="15">
        <f t="shared" si="4"/>
        <v>1.9871158161958395</v>
      </c>
      <c r="V20" s="15">
        <f t="shared" si="4"/>
        <v>0.12058803578079469</v>
      </c>
      <c r="W20" s="16">
        <f t="shared" ref="W20" si="5">(W19/V19)-1</f>
        <v>7.2493232670496788E-2</v>
      </c>
      <c r="X20" s="16">
        <f t="shared" ref="X20" si="6">(X19/W19)-1</f>
        <v>3.6741214057508076E-2</v>
      </c>
      <c r="Y20" s="16">
        <f t="shared" ref="Y20" si="7">(Y19/X19)-1</f>
        <v>7.6527991782229021E-2</v>
      </c>
      <c r="Z20" s="16">
        <f t="shared" ref="Z20" si="8">(Z19/Y19)-1</f>
        <v>8.82633587786259E-2</v>
      </c>
      <c r="AA20" s="16">
        <f t="shared" ref="AA20" si="9">(AA19/Z19)-1</f>
        <v>6.0938185006575996E-2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0.16847582309141473</v>
      </c>
      <c r="X21" s="60">
        <f t="shared" ref="X21:AA21" si="10">X19/X3</f>
        <v>0.16642448072484828</v>
      </c>
      <c r="Y21" s="60">
        <f t="shared" si="10"/>
        <v>0.16922331664782819</v>
      </c>
      <c r="Z21" s="60">
        <f t="shared" si="10"/>
        <v>0.17679429545806852</v>
      </c>
      <c r="AA21" s="60">
        <f t="shared" si="10"/>
        <v>0.17732835055323515</v>
      </c>
      <c r="AC21" s="76" t="s">
        <v>169</v>
      </c>
      <c r="AD21" s="18" t="s">
        <v>165</v>
      </c>
      <c r="AE21" s="19" t="s">
        <v>168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C22" s="17">
        <f>SUM(W29:AA29)/5</f>
        <v>4.3385629677771619E-2</v>
      </c>
      <c r="AD22" s="69">
        <f>(-1*V98)/AD102</f>
        <v>0</v>
      </c>
      <c r="AE22" s="70">
        <f>W107/AD102</f>
        <v>5.3622719748211096E-2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1254000000</v>
      </c>
      <c r="X28" s="61">
        <v>1301000000</v>
      </c>
      <c r="Y28" s="61">
        <v>1385000000</v>
      </c>
      <c r="Z28" s="61">
        <v>1450000000</v>
      </c>
      <c r="AA28" s="61">
        <v>1535000000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1">(F28/E28)-1</f>
        <v>0.41167261569290492</v>
      </c>
      <c r="G29" s="15">
        <f t="shared" si="11"/>
        <v>0.12385219358559207</v>
      </c>
      <c r="H29" s="15">
        <f t="shared" si="11"/>
        <v>-2.6445628577067559E-3</v>
      </c>
      <c r="I29" s="15">
        <f t="shared" si="11"/>
        <v>0.55754313756529994</v>
      </c>
      <c r="J29" s="15">
        <f t="shared" si="11"/>
        <v>0.80480739912592747</v>
      </c>
      <c r="K29" s="15">
        <f t="shared" si="11"/>
        <v>0.69314374208081087</v>
      </c>
      <c r="L29" s="15">
        <f t="shared" si="11"/>
        <v>0.43475187919909541</v>
      </c>
      <c r="M29" s="15">
        <f t="shared" si="11"/>
        <v>0.17560229268207861</v>
      </c>
      <c r="N29" s="15">
        <f t="shared" si="11"/>
        <v>0.26761778465755315</v>
      </c>
      <c r="O29" s="15">
        <f t="shared" si="11"/>
        <v>0.24451358235946108</v>
      </c>
      <c r="P29" s="15">
        <f t="shared" si="11"/>
        <v>0.28046798830029251</v>
      </c>
      <c r="Q29" s="15">
        <f t="shared" si="11"/>
        <v>0.35502245216712214</v>
      </c>
      <c r="R29" s="15">
        <f t="shared" si="11"/>
        <v>0.18609271046081477</v>
      </c>
      <c r="S29" s="15">
        <f t="shared" si="11"/>
        <v>7.1954069415192778E-2</v>
      </c>
      <c r="T29" s="15">
        <f t="shared" si="11"/>
        <v>-0.7509225222928132</v>
      </c>
      <c r="U29" s="15">
        <f t="shared" si="11"/>
        <v>4.6066027810162939</v>
      </c>
      <c r="V29" s="15">
        <f t="shared" si="11"/>
        <v>0.26025702017676355</v>
      </c>
      <c r="W29" s="16">
        <f t="shared" ref="W29" si="12">(W28/V28)-1</f>
        <v>9.3302683176541557E-3</v>
      </c>
      <c r="X29" s="16">
        <f t="shared" ref="X29" si="13">(X28/W28)-1</f>
        <v>3.7480063795853225E-2</v>
      </c>
      <c r="Y29" s="16">
        <f t="shared" ref="Y29" si="14">(Y28/X28)-1</f>
        <v>6.4565718677940032E-2</v>
      </c>
      <c r="Z29" s="16">
        <f t="shared" ref="Z29" si="15">(Z28/Y28)-1</f>
        <v>4.6931407942238268E-2</v>
      </c>
      <c r="AA29" s="16">
        <f t="shared" ref="AA29" si="16">(AA28/Z28)-1</f>
        <v>5.862068965517242E-2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7">W28/W3</f>
        <v>0.11249663586615233</v>
      </c>
      <c r="X30" s="62">
        <f t="shared" si="17"/>
        <v>0.11120608599025558</v>
      </c>
      <c r="Y30" s="62">
        <f t="shared" si="17"/>
        <v>0.11181979654448571</v>
      </c>
      <c r="Z30" s="62">
        <f t="shared" si="17"/>
        <v>0.11238567663928073</v>
      </c>
      <c r="AA30" s="62">
        <f t="shared" si="17"/>
        <v>0.11247893309884957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25.18</v>
      </c>
      <c r="X31" s="63">
        <v>26.12</v>
      </c>
      <c r="Y31" s="63">
        <v>27.81</v>
      </c>
      <c r="Z31" s="63">
        <v>29.12</v>
      </c>
      <c r="AA31" s="63">
        <v>30.82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8">(D34-C34)/C34</f>
        <v>0.36448348348348347</v>
      </c>
      <c r="E35" s="22">
        <f t="shared" si="18"/>
        <v>14.153138815152182</v>
      </c>
      <c r="F35" s="22">
        <f t="shared" si="18"/>
        <v>3.577741749148896E-2</v>
      </c>
      <c r="G35" s="22">
        <f t="shared" si="18"/>
        <v>6.7555769637838922E-2</v>
      </c>
      <c r="H35" s="22">
        <f t="shared" si="18"/>
        <v>0.10646801643743081</v>
      </c>
      <c r="I35" s="22">
        <f t="shared" si="18"/>
        <v>4.578832228195431E-3</v>
      </c>
      <c r="J35" s="22">
        <f t="shared" si="18"/>
        <v>3.4623630501207016E-2</v>
      </c>
      <c r="K35" s="22">
        <f t="shared" si="18"/>
        <v>3.338337031719097E-2</v>
      </c>
      <c r="L35" s="22">
        <f t="shared" si="18"/>
        <v>1.6768244544794267E-2</v>
      </c>
      <c r="M35" s="22">
        <f t="shared" si="18"/>
        <v>1.0093794645630162E-3</v>
      </c>
      <c r="N35" s="22">
        <f t="shared" si="18"/>
        <v>2.947518654690433E-3</v>
      </c>
      <c r="O35" s="22">
        <f t="shared" si="18"/>
        <v>-5.8158419823359266E-3</v>
      </c>
      <c r="P35" s="22">
        <f t="shared" si="18"/>
        <v>-2.2154803578374172E-2</v>
      </c>
      <c r="Q35" s="22">
        <f t="shared" si="18"/>
        <v>-1.3937725732287473E-2</v>
      </c>
      <c r="R35" s="22">
        <f t="shared" si="18"/>
        <v>-2.8947156111335217E-2</v>
      </c>
      <c r="S35" s="22">
        <f t="shared" si="18"/>
        <v>-3.4495937255944568E-2</v>
      </c>
      <c r="T35" s="22">
        <f t="shared" si="18"/>
        <v>-2.6624214783581446E-2</v>
      </c>
      <c r="U35" s="22">
        <f t="shared" si="18"/>
        <v>-3.0358216344283744E-2</v>
      </c>
      <c r="V35" s="22">
        <f t="shared" si="18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9">B79/B3</f>
        <v>#VALUE!</v>
      </c>
      <c r="C80" s="15" t="e">
        <f t="shared" si="19"/>
        <v>#VALUE!</v>
      </c>
      <c r="D80" s="15" t="e">
        <f t="shared" si="19"/>
        <v>#VALUE!</v>
      </c>
      <c r="E80" s="15" t="e">
        <f t="shared" si="19"/>
        <v>#VALUE!</v>
      </c>
      <c r="F80" s="15" t="e">
        <f t="shared" si="19"/>
        <v>#VALUE!</v>
      </c>
      <c r="G80" s="15" t="e">
        <f t="shared" si="19"/>
        <v>#VALUE!</v>
      </c>
      <c r="H80" s="15">
        <f t="shared" si="19"/>
        <v>3.5744381116050768E-3</v>
      </c>
      <c r="I80" s="15">
        <f t="shared" si="19"/>
        <v>4.865179170915895E-3</v>
      </c>
      <c r="J80" s="15">
        <f t="shared" si="19"/>
        <v>7.6675203699655909E-3</v>
      </c>
      <c r="K80" s="15">
        <f t="shared" si="19"/>
        <v>6.5337913274265535E-3</v>
      </c>
      <c r="L80" s="15">
        <f t="shared" si="19"/>
        <v>6.0240801060778577E-3</v>
      </c>
      <c r="M80" s="15">
        <f t="shared" si="19"/>
        <v>5.9923469607458778E-3</v>
      </c>
      <c r="N80" s="15">
        <f t="shared" si="19"/>
        <v>4.6039188996994792E-3</v>
      </c>
      <c r="O80" s="15">
        <f t="shared" si="19"/>
        <v>3.973888641416309E-3</v>
      </c>
      <c r="P80" s="15">
        <f t="shared" si="19"/>
        <v>3.9837379450215326E-3</v>
      </c>
      <c r="Q80" s="15">
        <f t="shared" si="19"/>
        <v>4.1463123667475231E-3</v>
      </c>
      <c r="R80" s="15">
        <f t="shared" si="19"/>
        <v>3.9656880735310868E-3</v>
      </c>
      <c r="S80" s="15">
        <f t="shared" si="19"/>
        <v>3.3853433085502863E-3</v>
      </c>
      <c r="T80" s="15">
        <f t="shared" si="19"/>
        <v>4.4836168286721302E-3</v>
      </c>
      <c r="U80" s="15">
        <f t="shared" si="19"/>
        <v>5.475565726775075E-3</v>
      </c>
      <c r="V80" s="15">
        <f t="shared" ref="V80" si="20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19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W84" s="77"/>
      <c r="X84" s="77"/>
      <c r="Y84" s="77"/>
      <c r="Z84" s="77"/>
      <c r="AA84" s="77"/>
      <c r="AB84" s="77"/>
      <c r="AC84" s="106" t="s">
        <v>124</v>
      </c>
      <c r="AD84" s="107"/>
    </row>
    <row r="85" spans="1:38" ht="19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W85" s="77"/>
      <c r="X85" s="77"/>
      <c r="Y85" s="77"/>
      <c r="Z85" s="77"/>
      <c r="AA85" s="77"/>
      <c r="AB85" s="77"/>
      <c r="AC85" s="108" t="s">
        <v>125</v>
      </c>
      <c r="AD85" s="108"/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W86" s="77"/>
      <c r="X86" s="77"/>
      <c r="Y86" s="77"/>
      <c r="Z86" s="77"/>
      <c r="AA86" s="77"/>
      <c r="AB86" s="77"/>
      <c r="AC86" s="71" t="s">
        <v>126</v>
      </c>
      <c r="AD86" s="88">
        <f>V17</f>
        <v>4943000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W87" s="77"/>
      <c r="X87" s="77"/>
      <c r="Y87" s="77"/>
      <c r="Z87" s="77"/>
      <c r="AA87" s="77"/>
      <c r="AB87" s="77"/>
      <c r="AC87" s="71" t="s">
        <v>127</v>
      </c>
      <c r="AD87" s="88">
        <f>V56</f>
        <v>283293000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W88" s="77"/>
      <c r="X88" s="77"/>
      <c r="Y88" s="77"/>
      <c r="Z88" s="77"/>
      <c r="AA88" s="77"/>
      <c r="AB88" s="77"/>
      <c r="AC88" s="71" t="s">
        <v>128</v>
      </c>
      <c r="AD88" s="88">
        <f>V61</f>
        <v>1619883000</v>
      </c>
    </row>
    <row r="89" spans="1:38" ht="20" customHeight="1" x14ac:dyDescent="0.25">
      <c r="A89" s="14" t="s">
        <v>104</v>
      </c>
      <c r="B89" s="15" t="e">
        <f t="shared" ref="B89:U89" si="21">(-1*B88)/B3</f>
        <v>#VALUE!</v>
      </c>
      <c r="C89" s="15" t="e">
        <f t="shared" si="21"/>
        <v>#VALUE!</v>
      </c>
      <c r="D89" s="15" t="e">
        <f t="shared" si="21"/>
        <v>#VALUE!</v>
      </c>
      <c r="E89" s="15">
        <f t="shared" si="21"/>
        <v>7.1850796528947034E-2</v>
      </c>
      <c r="F89" s="15">
        <f t="shared" si="21"/>
        <v>8.2545261437692113E-2</v>
      </c>
      <c r="G89" s="15">
        <f t="shared" si="21"/>
        <v>0.11167790944601767</v>
      </c>
      <c r="H89" s="15">
        <f t="shared" si="21"/>
        <v>0.1022112283639086</v>
      </c>
      <c r="I89" s="15">
        <f t="shared" si="21"/>
        <v>5.5697264655442433E-2</v>
      </c>
      <c r="J89" s="15">
        <f t="shared" si="21"/>
        <v>6.6753136775366054E-2</v>
      </c>
      <c r="K89" s="15">
        <f t="shared" si="21"/>
        <v>7.2424022507095398E-2</v>
      </c>
      <c r="L89" s="15">
        <f t="shared" si="21"/>
        <v>8.4935250709828061E-2</v>
      </c>
      <c r="M89" s="15">
        <f t="shared" si="21"/>
        <v>8.4635020274675135E-2</v>
      </c>
      <c r="N89" s="15">
        <f t="shared" si="21"/>
        <v>7.6840063565734112E-2</v>
      </c>
      <c r="O89" s="15">
        <f t="shared" si="21"/>
        <v>7.6238062279504484E-2</v>
      </c>
      <c r="P89" s="15">
        <f t="shared" si="21"/>
        <v>7.6986044764113901E-2</v>
      </c>
      <c r="Q89" s="15">
        <f t="shared" si="21"/>
        <v>7.4893967310085158E-2</v>
      </c>
      <c r="R89" s="15">
        <f t="shared" si="21"/>
        <v>4.7553715673743398E-2</v>
      </c>
      <c r="S89" s="15">
        <f t="shared" si="21"/>
        <v>0</v>
      </c>
      <c r="T89" s="15">
        <f t="shared" si="21"/>
        <v>0</v>
      </c>
      <c r="U89" s="15">
        <f t="shared" si="21"/>
        <v>1.9950088571409039E-2</v>
      </c>
      <c r="V89" s="15">
        <f t="shared" ref="V89" si="22">(-1*V88)/V3</f>
        <v>3.05766065830721E-2</v>
      </c>
      <c r="W89" s="77"/>
      <c r="X89" s="77"/>
      <c r="Y89" s="77"/>
      <c r="Z89" s="77"/>
      <c r="AA89" s="77"/>
      <c r="AB89" s="77"/>
      <c r="AC89" s="72" t="s">
        <v>129</v>
      </c>
      <c r="AD89" s="89">
        <f>AD86/(AD87+AD88)</f>
        <v>2.5972374599091204E-3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W90" s="77"/>
      <c r="X90" s="77"/>
      <c r="Y90" s="77"/>
      <c r="Z90" s="77"/>
      <c r="AA90" s="77"/>
      <c r="AB90" s="77"/>
      <c r="AC90" s="71" t="s">
        <v>105</v>
      </c>
      <c r="AD90" s="88">
        <f>V27</f>
        <v>401163000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W91" s="77"/>
      <c r="X91" s="77"/>
      <c r="Y91" s="77"/>
      <c r="Z91" s="77"/>
      <c r="AA91" s="77"/>
      <c r="AB91" s="77"/>
      <c r="AC91" s="71" t="s">
        <v>19</v>
      </c>
      <c r="AD91" s="88">
        <f>V25</f>
        <v>1640273000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W92" s="77"/>
      <c r="X92" s="77"/>
      <c r="Y92" s="77"/>
      <c r="Z92" s="77"/>
      <c r="AA92" s="77"/>
      <c r="AB92" s="77"/>
      <c r="AC92" s="72" t="s">
        <v>130</v>
      </c>
      <c r="AD92" s="89">
        <f>AD90/AD91</f>
        <v>0.24457087326317023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W93" s="77"/>
      <c r="X93" s="77"/>
      <c r="Y93" s="77"/>
      <c r="Z93" s="77"/>
      <c r="AA93" s="77"/>
      <c r="AB93" s="77"/>
      <c r="AC93" s="72" t="s">
        <v>131</v>
      </c>
      <c r="AD93" s="89">
        <f>AD89*(1-AD92)</f>
        <v>1.9620288262673291E-3</v>
      </c>
    </row>
    <row r="94" spans="1:38" ht="19" customHeight="1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W94" s="77"/>
      <c r="X94" s="77"/>
      <c r="Y94" s="77"/>
      <c r="Z94" s="77"/>
      <c r="AA94" s="77"/>
      <c r="AB94" s="77"/>
      <c r="AC94" s="108" t="s">
        <v>132</v>
      </c>
      <c r="AD94" s="108"/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W95" s="77"/>
      <c r="X95" s="77"/>
      <c r="Y95" s="77"/>
      <c r="Z95" s="77"/>
      <c r="AA95" s="77"/>
      <c r="AB95" s="77"/>
      <c r="AC95" s="71" t="s">
        <v>133</v>
      </c>
      <c r="AD95" s="102">
        <f>'[1]US Treasury Bonds'!$C$8</f>
        <v>4.9880000000000008E-2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77"/>
      <c r="X96" s="77"/>
      <c r="Y96" s="77"/>
      <c r="Z96" s="77"/>
      <c r="AA96" s="77"/>
      <c r="AB96" s="77"/>
      <c r="AC96" s="71" t="s">
        <v>134</v>
      </c>
      <c r="AD96" s="91" cm="1">
        <f t="array" ref="AD96">_FV(A1,"Beta")</f>
        <v>1.3653999999999999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W97" s="77"/>
      <c r="X97" s="77"/>
      <c r="Y97" s="77"/>
      <c r="Z97" s="77"/>
      <c r="AA97" s="77"/>
      <c r="AB97" s="77"/>
      <c r="AC97" s="71" t="s">
        <v>135</v>
      </c>
      <c r="AD97" s="90">
        <v>8.4000000000000005E-2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W98" s="77"/>
      <c r="X98" s="77"/>
      <c r="Y98" s="77"/>
      <c r="Z98" s="77"/>
      <c r="AA98" s="77"/>
      <c r="AB98" s="77"/>
      <c r="AC98" s="72" t="s">
        <v>136</v>
      </c>
      <c r="AD98" s="89">
        <f>(AD95)+((AD96)*(AD97-AD95))</f>
        <v>9.6467448000000011E-2</v>
      </c>
    </row>
    <row r="99" spans="1:39" ht="19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W99" s="77"/>
      <c r="X99" s="77"/>
      <c r="Y99" s="77"/>
      <c r="Z99" s="77"/>
      <c r="AA99" s="77"/>
      <c r="AB99" s="77"/>
      <c r="AC99" s="108" t="s">
        <v>137</v>
      </c>
      <c r="AD99" s="108"/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W100" s="77"/>
      <c r="X100" s="77"/>
      <c r="Y100" s="77"/>
      <c r="Z100" s="77"/>
      <c r="AA100" s="77"/>
      <c r="AB100" s="77"/>
      <c r="AC100" s="71" t="s">
        <v>138</v>
      </c>
      <c r="AD100" s="88">
        <f>AD87+AD88</f>
        <v>1903176000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W101" s="77"/>
      <c r="X101" s="77"/>
      <c r="Y101" s="77"/>
      <c r="Z101" s="77"/>
      <c r="AA101" s="77"/>
      <c r="AB101" s="77"/>
      <c r="AC101" s="72" t="s">
        <v>139</v>
      </c>
      <c r="AD101" s="89">
        <f>AD100/AD104</f>
        <v>9.4175375981282325E-2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W102" s="77"/>
      <c r="X102" s="77"/>
      <c r="Y102" s="77"/>
      <c r="Z102" s="77"/>
      <c r="AA102" s="77"/>
      <c r="AB102" s="77"/>
      <c r="AC102" s="71" t="s">
        <v>140</v>
      </c>
      <c r="AD102" s="92" cm="1">
        <f t="array" ref="AD102">_FV(A1,"Market cap",TRUE)</f>
        <v>18305673502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W103" s="77"/>
      <c r="X103" s="77"/>
      <c r="Y103" s="77"/>
      <c r="Z103" s="77"/>
      <c r="AA103" s="77"/>
      <c r="AB103" s="77"/>
      <c r="AC103" s="72" t="s">
        <v>141</v>
      </c>
      <c r="AD103" s="89">
        <f>AD102/AD104</f>
        <v>0.90582462401871766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W104" s="110" t="s">
        <v>115</v>
      </c>
      <c r="X104" s="110"/>
      <c r="Y104" s="110"/>
      <c r="Z104" s="110"/>
      <c r="AA104" s="110"/>
      <c r="AB104" s="77"/>
      <c r="AC104" s="72" t="s">
        <v>142</v>
      </c>
      <c r="AD104" s="93">
        <f>AD100+AD102</f>
        <v>20208849502</v>
      </c>
    </row>
    <row r="105" spans="1:39" ht="21" customHeight="1" thickTop="1" x14ac:dyDescent="0.25">
      <c r="A105" s="14" t="s">
        <v>161</v>
      </c>
      <c r="C105" s="1" t="e">
        <f t="shared" ref="C105:V105" si="23">(C22*(1-$AD$92))+C77+C88+C81</f>
        <v>#VALUE!</v>
      </c>
      <c r="D105" s="1" t="e">
        <f t="shared" si="23"/>
        <v>#VALUE!</v>
      </c>
      <c r="E105" s="1">
        <f t="shared" si="23"/>
        <v>3804746.6251044795</v>
      </c>
      <c r="F105" s="1">
        <f t="shared" si="23"/>
        <v>4978642.8326260298</v>
      </c>
      <c r="G105" s="1">
        <f t="shared" si="23"/>
        <v>-42619595.769728571</v>
      </c>
      <c r="H105" s="1">
        <f t="shared" si="23"/>
        <v>-50903876.002958044</v>
      </c>
      <c r="I105" s="1">
        <f t="shared" si="23"/>
        <v>108285761.27449515</v>
      </c>
      <c r="J105" s="1">
        <f t="shared" si="23"/>
        <v>90469436.302981257</v>
      </c>
      <c r="K105" s="1">
        <f t="shared" si="23"/>
        <v>122341417.52013233</v>
      </c>
      <c r="L105" s="1">
        <f t="shared" si="23"/>
        <v>113600536.04552412</v>
      </c>
      <c r="M105" s="1">
        <f t="shared" si="23"/>
        <v>135926516.76946461</v>
      </c>
      <c r="N105" s="1">
        <f t="shared" si="23"/>
        <v>175021445.04969603</v>
      </c>
      <c r="O105" s="1">
        <f t="shared" si="23"/>
        <v>123574500.57947671</v>
      </c>
      <c r="P105" s="1">
        <f t="shared" si="23"/>
        <v>299453122.48631787</v>
      </c>
      <c r="Q105" s="1">
        <f t="shared" si="23"/>
        <v>371827694.36429179</v>
      </c>
      <c r="R105" s="1">
        <f t="shared" si="23"/>
        <v>559763908.56339157</v>
      </c>
      <c r="S105" s="1">
        <f t="shared" si="23"/>
        <v>760842653.52779698</v>
      </c>
      <c r="T105" s="1">
        <f t="shared" si="23"/>
        <v>462414725.79381603</v>
      </c>
      <c r="U105" s="1">
        <f t="shared" si="23"/>
        <v>578224248.50802279</v>
      </c>
      <c r="V105" s="1">
        <f t="shared" si="23"/>
        <v>1167099721.3622367</v>
      </c>
      <c r="W105" s="103">
        <f>W107/W3</f>
        <v>8.805956759666278E-2</v>
      </c>
      <c r="X105" s="103">
        <f>X107/X3</f>
        <v>9.1802718181041118E-2</v>
      </c>
      <c r="Y105" s="103">
        <f>Y107/Y3</f>
        <v>9.2281608267398674E-2</v>
      </c>
      <c r="Z105" s="103">
        <f>Z107/Z3</f>
        <v>9.8511858626569526E-2</v>
      </c>
      <c r="AA105" s="103">
        <f>AA107/AA3</f>
        <v>9.8629735472997734E-2</v>
      </c>
      <c r="AB105" s="104" t="s">
        <v>167</v>
      </c>
      <c r="AC105" s="108" t="s">
        <v>143</v>
      </c>
      <c r="AD105" s="108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20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79">
        <f>(W107/V107)-1</f>
        <v>-0.16102564102564099</v>
      </c>
      <c r="X106" s="79">
        <f>(X107/W107)-1</f>
        <v>9.4132029339853318E-2</v>
      </c>
      <c r="Y106" s="79">
        <f>(Y107/X107)-1</f>
        <v>6.4245810055865826E-2</v>
      </c>
      <c r="Z106" s="79">
        <f>(Z107/Y107)-1</f>
        <v>0.11198600174978135</v>
      </c>
      <c r="AA106" s="79">
        <f>(AA107/Z107)-1</f>
        <v>5.9008654602675126E-2</v>
      </c>
      <c r="AB106" s="80">
        <f>SUM(W106:AA106)/5</f>
        <v>3.3669370944506928E-2</v>
      </c>
      <c r="AC106" s="73" t="s">
        <v>107</v>
      </c>
      <c r="AD106" s="94">
        <f>(AD101*AD93)+(AD103*AD98)</f>
        <v>8.7567364617045049E-2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81">
        <v>981600000</v>
      </c>
      <c r="X107" s="81">
        <v>1074000000</v>
      </c>
      <c r="Y107" s="81">
        <v>1143000000</v>
      </c>
      <c r="Z107" s="81">
        <v>1271000000</v>
      </c>
      <c r="AA107" s="81">
        <v>1346000000</v>
      </c>
      <c r="AB107" s="78" t="s">
        <v>164</v>
      </c>
      <c r="AC107" s="85" t="s">
        <v>170</v>
      </c>
      <c r="AD107" s="74">
        <f>(SUM(W4:AA4)/5)</f>
        <v>5.9926523870554818E-2</v>
      </c>
    </row>
    <row r="108" spans="1:39" ht="19" x14ac:dyDescent="0.2">
      <c r="W108" s="105"/>
      <c r="X108" s="105"/>
      <c r="Y108" s="105"/>
      <c r="Z108" s="105"/>
      <c r="AA108" s="82">
        <f>AA107*(1+AD108)/(AD109-AD108)</f>
        <v>22050633080.750629</v>
      </c>
      <c r="AB108" s="83" t="s">
        <v>145</v>
      </c>
      <c r="AC108" s="86" t="s">
        <v>146</v>
      </c>
      <c r="AD108" s="75">
        <v>2.5000000000000001E-2</v>
      </c>
    </row>
    <row r="109" spans="1:39" ht="19" x14ac:dyDescent="0.2">
      <c r="W109" s="82">
        <f t="shared" ref="W109:Y109" si="25">W108+W107</f>
        <v>981600000</v>
      </c>
      <c r="X109" s="82">
        <f t="shared" si="25"/>
        <v>1074000000</v>
      </c>
      <c r="Y109" s="82">
        <f t="shared" si="25"/>
        <v>1143000000</v>
      </c>
      <c r="Z109" s="82">
        <f>Z108+Z107</f>
        <v>1271000000</v>
      </c>
      <c r="AA109" s="82">
        <f>AA108+AA107</f>
        <v>23396633080.750629</v>
      </c>
      <c r="AB109" s="83" t="s">
        <v>142</v>
      </c>
      <c r="AC109" s="87" t="s">
        <v>147</v>
      </c>
      <c r="AD109" s="74">
        <f>AD106</f>
        <v>8.7567364617045049E-2</v>
      </c>
    </row>
    <row r="110" spans="1:39" ht="19" x14ac:dyDescent="0.2">
      <c r="W110" s="109" t="s">
        <v>148</v>
      </c>
      <c r="X110" s="109"/>
      <c r="Y110" s="77"/>
      <c r="Z110" s="77"/>
      <c r="AA110" s="77"/>
      <c r="AB110" s="77"/>
      <c r="AC110" s="77"/>
      <c r="AD110" s="77"/>
    </row>
    <row r="111" spans="1:39" ht="20" x14ac:dyDescent="0.2">
      <c r="W111" s="95" t="s">
        <v>149</v>
      </c>
      <c r="X111" s="92">
        <f>NPV(AD109,W109,X109,Y109,Z109,AA109)</f>
        <v>18984642993.723434</v>
      </c>
      <c r="Y111" s="77"/>
      <c r="Z111" s="77"/>
      <c r="AA111" s="77"/>
      <c r="AB111" s="77"/>
      <c r="AC111" s="77"/>
      <c r="AD111" s="77"/>
    </row>
    <row r="112" spans="1:39" ht="20" x14ac:dyDescent="0.2">
      <c r="W112" s="95" t="s">
        <v>150</v>
      </c>
      <c r="X112" s="92">
        <f>V40</f>
        <v>737877000</v>
      </c>
      <c r="Y112" s="77"/>
      <c r="Z112" s="77"/>
      <c r="AA112" s="77"/>
      <c r="AB112" s="77"/>
      <c r="AC112" s="77"/>
      <c r="AD112" s="77"/>
    </row>
    <row r="113" spans="23:30" ht="20" x14ac:dyDescent="0.2">
      <c r="W113" s="95" t="s">
        <v>138</v>
      </c>
      <c r="X113" s="92">
        <f>AD100</f>
        <v>1903176000</v>
      </c>
      <c r="Y113" s="77"/>
      <c r="Z113" s="77"/>
      <c r="AA113" s="77"/>
      <c r="AB113" s="77"/>
      <c r="AC113" s="77"/>
      <c r="AD113" s="77"/>
    </row>
    <row r="114" spans="23:30" ht="20" x14ac:dyDescent="0.2">
      <c r="W114" s="95" t="s">
        <v>151</v>
      </c>
      <c r="X114" s="92">
        <f>X111+X112-X113</f>
        <v>17819343993.723434</v>
      </c>
      <c r="Y114" s="77"/>
      <c r="Z114" s="77"/>
      <c r="AA114" s="77"/>
      <c r="AB114" s="77"/>
      <c r="AC114" s="77"/>
      <c r="AD114" s="77"/>
    </row>
    <row r="115" spans="23:30" ht="20" x14ac:dyDescent="0.2">
      <c r="W115" s="95" t="s">
        <v>152</v>
      </c>
      <c r="X115" s="95">
        <f>V34*(1+(5*AB16))</f>
        <v>43003211.19368273</v>
      </c>
      <c r="Y115" s="77"/>
      <c r="Z115" s="77"/>
      <c r="AA115" s="77"/>
      <c r="AB115" s="77"/>
      <c r="AC115" s="77"/>
      <c r="AD115" s="77"/>
    </row>
    <row r="116" spans="23:30" ht="20" x14ac:dyDescent="0.2">
      <c r="W116" s="96" t="s">
        <v>153</v>
      </c>
      <c r="X116" s="97">
        <f>X114/X115</f>
        <v>414.37240380646591</v>
      </c>
      <c r="Y116" s="77"/>
      <c r="Z116" s="77"/>
      <c r="AA116" s="77"/>
      <c r="AB116" s="77"/>
      <c r="AC116" s="77"/>
      <c r="AD116" s="77"/>
    </row>
    <row r="117" spans="23:30" ht="20" x14ac:dyDescent="0.2">
      <c r="W117" s="95" t="s">
        <v>154</v>
      </c>
      <c r="X117" s="98" cm="1">
        <f t="array" ref="X117">_FV(A1,"Price")</f>
        <v>371.85</v>
      </c>
      <c r="Y117" s="77"/>
      <c r="Z117" s="77"/>
      <c r="AA117" s="77"/>
      <c r="AB117" s="77"/>
      <c r="AC117" s="77"/>
      <c r="AD117" s="77"/>
    </row>
    <row r="118" spans="23:30" ht="20" x14ac:dyDescent="0.2">
      <c r="W118" s="96" t="s">
        <v>155</v>
      </c>
      <c r="X118" s="99">
        <f>X116/X117-1</f>
        <v>0.11435364745587173</v>
      </c>
      <c r="Y118" s="77"/>
      <c r="Z118" s="77"/>
      <c r="AA118" s="77"/>
      <c r="AB118" s="77"/>
      <c r="AC118" s="77"/>
      <c r="AD118" s="77"/>
    </row>
    <row r="119" spans="23:30" ht="20" x14ac:dyDescent="0.2">
      <c r="W119" s="96" t="s">
        <v>156</v>
      </c>
      <c r="X119" s="100" t="str">
        <f>IF(X116&gt;X117,"BUY","SELL")</f>
        <v>BUY</v>
      </c>
      <c r="Y119" s="77"/>
      <c r="Z119" s="77"/>
      <c r="AA119" s="77"/>
      <c r="AB119" s="77"/>
      <c r="AC119" s="77"/>
      <c r="AD119" s="77"/>
    </row>
  </sheetData>
  <mergeCells count="7">
    <mergeCell ref="AC84:AD84"/>
    <mergeCell ref="AC85:AD85"/>
    <mergeCell ref="W110:X110"/>
    <mergeCell ref="W104:AA104"/>
    <mergeCell ref="AC105:AD105"/>
    <mergeCell ref="AC99:AD99"/>
    <mergeCell ref="AC94:AD9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7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113" t="s">
        <v>124</v>
      </c>
      <c r="J83" s="114"/>
    </row>
    <row r="84" spans="1:11" ht="19" x14ac:dyDescent="0.25">
      <c r="A84" s="5" t="s">
        <v>47</v>
      </c>
      <c r="B84" s="1"/>
      <c r="I84" s="115" t="s">
        <v>125</v>
      </c>
      <c r="J84" s="116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17" t="s">
        <v>132</v>
      </c>
      <c r="J93" s="118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 t="e">
        <f>#REF!</f>
        <v>#REF!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>
        <f>(J94)+((J95)*(J96-J94))</f>
        <v>#REF!</v>
      </c>
    </row>
    <row r="98" spans="1:11" ht="19" x14ac:dyDescent="0.25">
      <c r="A98" s="5" t="s">
        <v>83</v>
      </c>
      <c r="B98" s="1">
        <v>0</v>
      </c>
      <c r="I98" s="117" t="s">
        <v>137</v>
      </c>
      <c r="J98" s="118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15" t="s">
        <v>143</v>
      </c>
      <c r="J104" s="116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111" t="s">
        <v>148</v>
      </c>
      <c r="D109" s="112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2023-01-12T11:00:38Z</dcterms:created>
  <dcterms:modified xsi:type="dcterms:W3CDTF">2023-10-21T05:42:36Z</dcterms:modified>
</cp:coreProperties>
</file>