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2EBDF0E8-C1CB-E04B-8561-2DD5EFCD04F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1" l="1"/>
  <c r="X105" i="1"/>
  <c r="W105" i="1"/>
  <c r="V105" i="1"/>
  <c r="U105" i="1"/>
  <c r="AB95" i="1"/>
  <c r="AC7" i="1"/>
  <c r="AB7" i="1"/>
  <c r="AA7" i="1"/>
  <c r="U106" i="1"/>
  <c r="U34" i="1" l="1" a="1"/>
  <c r="U34" i="1" s="1"/>
  <c r="U35" i="1" s="1"/>
  <c r="U33" i="1" a="1"/>
  <c r="U33" i="1" s="1"/>
  <c r="AA22" i="1"/>
  <c r="Y106" i="1"/>
  <c r="X106" i="1"/>
  <c r="W106" i="1"/>
  <c r="V106" i="1"/>
  <c r="Z106" i="1" l="1"/>
  <c r="U109" i="1"/>
  <c r="V109" i="1"/>
  <c r="W109" i="1"/>
  <c r="X109" i="1"/>
  <c r="F4" i="1"/>
  <c r="G4" i="1"/>
  <c r="H4" i="1"/>
  <c r="I4" i="1"/>
  <c r="J4" i="1"/>
  <c r="K4" i="1"/>
  <c r="L4" i="1"/>
  <c r="M4" i="1"/>
  <c r="N4" i="1"/>
  <c r="O4" i="1"/>
  <c r="P4" i="1"/>
  <c r="Q4" i="1"/>
  <c r="R4" i="1"/>
  <c r="S4" i="1"/>
  <c r="T4" i="1"/>
  <c r="Y30" i="1"/>
  <c r="X30" i="1"/>
  <c r="W30" i="1"/>
  <c r="V30" i="1"/>
  <c r="U30" i="1"/>
  <c r="Y29" i="1"/>
  <c r="X29" i="1"/>
  <c r="W29" i="1"/>
  <c r="V29" i="1"/>
  <c r="U29" i="1"/>
  <c r="Y21" i="1"/>
  <c r="X21" i="1"/>
  <c r="W21" i="1"/>
  <c r="V21" i="1"/>
  <c r="U21" i="1"/>
  <c r="Y20" i="1"/>
  <c r="X20" i="1"/>
  <c r="W20" i="1"/>
  <c r="V20" i="1"/>
  <c r="U20" i="1"/>
  <c r="V117" i="1" l="1" a="1"/>
  <c r="V117" i="1" s="1"/>
  <c r="AB102" i="1" a="1"/>
  <c r="AB102" i="1" s="1"/>
  <c r="AC22" i="1" s="1"/>
  <c r="AB96" i="1" a="1"/>
  <c r="AB96" i="1" s="1"/>
  <c r="V115" i="1"/>
  <c r="Z19" i="1"/>
  <c r="V112" i="1"/>
  <c r="AB91" i="1"/>
  <c r="AB90" i="1"/>
  <c r="AB92" i="1" s="1"/>
  <c r="AB88" i="1"/>
  <c r="AB87" i="1"/>
  <c r="AB89" i="1" s="1"/>
  <c r="AB86" i="1"/>
  <c r="Z16" i="1"/>
  <c r="AC13" i="1"/>
  <c r="AB13" i="1"/>
  <c r="AA13" i="1"/>
  <c r="Z13" i="1"/>
  <c r="AC10" i="1"/>
  <c r="AB10" i="1"/>
  <c r="AA10" i="1"/>
  <c r="Z10" i="1"/>
  <c r="Z7" i="1"/>
  <c r="AB4" i="1"/>
  <c r="AA4" i="1"/>
  <c r="Z4" i="1"/>
  <c r="Y4" i="1"/>
  <c r="X4" i="1"/>
  <c r="W4" i="1"/>
  <c r="V4" i="1"/>
  <c r="U4" i="1"/>
  <c r="P89" i="1"/>
  <c r="Q89" i="1"/>
  <c r="R89" i="1"/>
  <c r="S89" i="1"/>
  <c r="T89" i="1"/>
  <c r="P106" i="1"/>
  <c r="Q106" i="1"/>
  <c r="R106" i="1"/>
  <c r="S106" i="1"/>
  <c r="AC4" i="1" s="1"/>
  <c r="T106"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E4" i="1"/>
  <c r="D4" i="1"/>
  <c r="C4" i="1"/>
  <c r="G105" i="1" l="1"/>
  <c r="O105" i="1"/>
  <c r="H105" i="1"/>
  <c r="P105" i="1"/>
  <c r="I105" i="1"/>
  <c r="Q105" i="1"/>
  <c r="J105" i="1"/>
  <c r="R105" i="1"/>
  <c r="C105" i="1"/>
  <c r="D105" i="1"/>
  <c r="L105" i="1"/>
  <c r="T105" i="1"/>
  <c r="F105" i="1"/>
  <c r="K105" i="1"/>
  <c r="M105" i="1"/>
  <c r="N105" i="1"/>
  <c r="S105" i="1"/>
  <c r="E105" i="1"/>
  <c r="AB93" i="1"/>
  <c r="AB19" i="1"/>
  <c r="AA19" i="1"/>
  <c r="AC19" i="1"/>
  <c r="AB22" i="1"/>
  <c r="AB107" i="1"/>
  <c r="AC16" i="1"/>
  <c r="AB16" i="1"/>
  <c r="AA16" i="1"/>
  <c r="AB100" i="1"/>
  <c r="AB104" i="1" l="1"/>
  <c r="AB103" i="1" s="1"/>
  <c r="V113" i="1"/>
  <c r="AB101" i="1" l="1"/>
  <c r="AB98" i="1" l="1"/>
  <c r="AB106" i="1" s="1"/>
  <c r="AB109" i="1" s="1"/>
  <c r="Y108" i="1" s="1"/>
  <c r="Y109" i="1" s="1"/>
  <c r="V111" i="1" s="1"/>
  <c r="V114" i="1" s="1"/>
  <c r="V116" i="1" s="1"/>
  <c r="V119"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<sst xmlns="http://schemas.openxmlformats.org/spreadsheetml/2006/main" count="602" uniqueCount="168">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</sst>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Visa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84412876108468"/>
          <c:w val="0.82102479338842971"/>
          <c:h val="0.6298423779391373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1'!$C$3:$Y$3</c:f>
              <c:numCache>
                <c:formatCode>#,###,,;\(#,###,,\);\ \-\ \-</c:formatCode>
                <c:ptCount val="23"/>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pt idx="18">
                  <c:v>32610000000</c:v>
                </c:pt>
                <c:pt idx="19">
                  <c:v>36218000000</c:v>
                </c:pt>
                <c:pt idx="20">
                  <c:v>40430000000</c:v>
                </c:pt>
                <c:pt idx="21">
                  <c:v>43266000000</c:v>
                </c:pt>
                <c:pt idx="22">
                  <c:v>49870000000</c:v>
                </c:pt>
              </c:numCache>
            </c:numRef>
          </c:val>
          <c:extLst>
            <c:ext xmlns:c16="http://schemas.microsoft.com/office/drawing/2014/chart" uri="{C3380CC4-5D6E-409C-BE32-E72D297353CC}">
              <c16:uniqueId val="{00000000-A714-9E4A-BCFE-D1B6E2536A9C}"/>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1'!$C$28:$Y$28</c:f>
              <c:numCache>
                <c:formatCode>#,###,,;\(#,###,,\);\ \-\ \-</c:formatCode>
                <c:ptCount val="23"/>
                <c:pt idx="0">
                  <c:v>264701000</c:v>
                </c:pt>
                <c:pt idx="1">
                  <c:v>454561000</c:v>
                </c:pt>
                <c:pt idx="2">
                  <c:v>-1076095000</c:v>
                </c:pt>
                <c:pt idx="3">
                  <c:v>804000000</c:v>
                </c:pt>
                <c:pt idx="4">
                  <c:v>2353000000</c:v>
                </c:pt>
                <c:pt idx="5">
                  <c:v>2966000000</c:v>
                </c:pt>
                <c:pt idx="6">
                  <c:v>3650000000</c:v>
                </c:pt>
                <c:pt idx="7">
                  <c:v>2144000000</c:v>
                </c:pt>
                <c:pt idx="8">
                  <c:v>4980000000</c:v>
                </c:pt>
                <c:pt idx="9">
                  <c:v>5438000000</c:v>
                </c:pt>
                <c:pt idx="10">
                  <c:v>6328000000</c:v>
                </c:pt>
                <c:pt idx="11">
                  <c:v>5991000000</c:v>
                </c:pt>
                <c:pt idx="12">
                  <c:v>6699000000</c:v>
                </c:pt>
                <c:pt idx="13">
                  <c:v>10301000000</c:v>
                </c:pt>
                <c:pt idx="14">
                  <c:v>12080000000</c:v>
                </c:pt>
                <c:pt idx="15">
                  <c:v>10866000000</c:v>
                </c:pt>
                <c:pt idx="16">
                  <c:v>12311000000</c:v>
                </c:pt>
                <c:pt idx="17">
                  <c:v>14957000000</c:v>
                </c:pt>
                <c:pt idx="18">
                  <c:v>18015000000</c:v>
                </c:pt>
                <c:pt idx="19">
                  <c:v>20092000000</c:v>
                </c:pt>
                <c:pt idx="20">
                  <c:v>22564000000</c:v>
                </c:pt>
                <c:pt idx="21">
                  <c:v>24140000000</c:v>
                </c:pt>
                <c:pt idx="22">
                  <c:v>26822000000</c:v>
                </c:pt>
              </c:numCache>
            </c:numRef>
          </c:val>
          <c:extLst>
            <c:ext xmlns:c16="http://schemas.microsoft.com/office/drawing/2014/chart" uri="{C3380CC4-5D6E-409C-BE32-E72D297353CC}">
              <c16:uniqueId val="{00000001-A714-9E4A-BCFE-D1B6E2536A9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1'!$C$107:$Y$107</c:f>
              <c:numCache>
                <c:formatCode>#,###,,;\(#,###,,\);\ \-\ \-</c:formatCode>
                <c:ptCount val="23"/>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pt idx="18">
                  <c:v>18310000000</c:v>
                </c:pt>
                <c:pt idx="19">
                  <c:v>20381000000</c:v>
                </c:pt>
                <c:pt idx="20">
                  <c:v>22763000000</c:v>
                </c:pt>
                <c:pt idx="21">
                  <c:v>24214000000</c:v>
                </c:pt>
                <c:pt idx="22">
                  <c:v>27342000000</c:v>
                </c:pt>
              </c:numCache>
            </c:numRef>
          </c:val>
          <c:extLst>
            <c:ext xmlns:c16="http://schemas.microsoft.com/office/drawing/2014/chart" uri="{C3380CC4-5D6E-409C-BE32-E72D297353CC}">
              <c16:uniqueId val="{00000002-A714-9E4A-BCFE-D1B6E2536A9C}"/>
            </c:ext>
          </c:extLst>
        </c:ser>
        <c:dLbls>
          <c:showLegendKey val="0"/>
          <c:showVal val="0"/>
          <c:showCatName val="0"/>
          <c:showSerName val="0"/>
          <c:showPercent val="0"/>
          <c:showBubbleSize val="0"/>
        </c:dLbls>
        <c:gapWidth val="150"/>
        <c:overlap val="100"/>
        <c:axId val="511437807"/>
        <c:axId val="511366975"/>
      </c:barChart>
      <c:catAx>
        <c:axId val="511437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511366975"/>
        <c:crosses val="autoZero"/>
        <c:auto val="1"/>
        <c:lblAlgn val="ctr"/>
        <c:lblOffset val="100"/>
        <c:noMultiLvlLbl val="0"/>
      </c:catAx>
      <c:valAx>
        <c:axId val="5113669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437807"/>
        <c:crosses val="autoZero"/>
        <c:crossBetween val="between"/>
      </c:valAx>
      <c:spPr>
        <a:noFill/>
        <a:ln>
          <a:noFill/>
        </a:ln>
        <a:effectLst/>
      </c:spPr>
    </c:plotArea>
    <c:legend>
      <c:legendPos val="b"/>
      <c:layout>
        <c:manualLayout>
          <c:xMode val="edge"/>
          <c:yMode val="edge"/>
          <c:x val="0.31269093512071322"/>
          <c:y val="0.8923310303706109"/>
          <c:w val="0.3746181297585735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109</xdr:row>
      <xdr:rowOff>17462</xdr:rowOff>
    </xdr:from>
    <xdr:to>
      <xdr:col>27</xdr:col>
      <xdr:colOff>1603374</xdr:colOff>
      <xdr:row>125</xdr:row>
      <xdr:rowOff>206374</xdr:rowOff>
    </xdr:to>
    <xdr:graphicFrame macro="">
      <xdr:nvGraphicFramePr>
        <xdr:cNvPr id="3" name="Chart 2">
          <a:extLst>
            <a:ext uri="{FF2B5EF4-FFF2-40B4-BE49-F238E27FC236}">
              <a16:creationId xmlns:a16="http://schemas.microsoft.com/office/drawing/2014/main" id="{AF21D19E-663C-3987-3B55-B2FC2DE21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250.06</v>
    <v>185.05</v>
    <v>0.95199999999999996</v>
    <v>-0.43</v>
    <v>-1.8390000000000001E-3</v>
    <v>-0.5</v>
    <v>-2.1419999999999998E-3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235.77</v>
    <v>Software &amp; IT Services</v>
    <v>Stock</v>
    <v>45219.999653772655</v>
    <v>0</v>
    <v>232.64</v>
    <v>475012550180</v>
    <v>VISA INC.</v>
    <v>VISA INC.</v>
    <v>234.13</v>
    <v>29.671299999999999</v>
    <v>233.81</v>
    <v>233.38</v>
    <v>232.88</v>
    <v>2035361000</v>
    <v>V</v>
    <v>VISA INC. (XNYS:V)</v>
    <v>5748421</v>
    <v>5946077</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hyperlink" Target="https://finbox.com/NYSE:V/explorer/fcf_unlev_proj" TargetMode="Externa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Q93" activePane="bottomRight" state="frozen"/>
      <selection pane="topRight"/>
      <selection pane="bottomLeft"/>
      <selection pane="bottomRight" activeCell="S113" sqref="S113"/>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3">
        <v>2023</v>
      </c>
      <c r="V1" s="23">
        <v>2024</v>
      </c>
      <c r="W1" s="23">
        <v>2025</v>
      </c>
      <c r="X1" s="23">
        <v>2026</v>
      </c>
      <c r="Y1" s="23">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t="s">
        <v>91</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4">
        <v>32610000000</v>
      </c>
      <c r="V3" s="24">
        <v>36218000000</v>
      </c>
      <c r="W3" s="24">
        <v>40430000000</v>
      </c>
      <c r="X3" s="24">
        <v>43266000000</v>
      </c>
      <c r="Y3" s="24">
        <v>49870000000</v>
      </c>
      <c r="Z3" s="18" t="s">
        <v>107</v>
      </c>
      <c r="AA3" s="19" t="s">
        <v>108</v>
      </c>
      <c r="AB3" s="19" t="s">
        <v>109</v>
      </c>
      <c r="AC3" s="19" t="s">
        <v>110</v>
      </c>
    </row>
    <row r="4" spans="1:29" ht="19" x14ac:dyDescent="0.25">
      <c r="A4" s="14" t="s">
        <v>93</v>
      </c>
      <c r="B4" s="1"/>
      <c r="C4" s="15" t="e">
        <f>(C3/B3)-1</f>
        <v>#VALUE!</v>
      </c>
      <c r="D4" s="15">
        <f>(D3/C3)-1</f>
        <v>0.10640263753914736</v>
      </c>
      <c r="E4" s="15">
        <f>(E3/D3)-1</f>
        <v>0.21765351955784795</v>
      </c>
      <c r="F4" s="15">
        <f t="shared" ref="F4:T4" si="0">(F3/E3)-1</f>
        <v>0.74466738499903617</v>
      </c>
      <c r="G4" s="15">
        <f t="shared" si="0"/>
        <v>0.1034647932300814</v>
      </c>
      <c r="H4" s="15">
        <f t="shared" si="0"/>
        <v>0.16698017653016928</v>
      </c>
      <c r="I4" s="15">
        <f t="shared" si="0"/>
        <v>0.13924364538127709</v>
      </c>
      <c r="J4" s="15">
        <f t="shared" si="0"/>
        <v>0.13419677840661737</v>
      </c>
      <c r="K4" s="15">
        <f t="shared" si="0"/>
        <v>0.13021782938297677</v>
      </c>
      <c r="L4" s="15">
        <f t="shared" si="0"/>
        <v>7.8451349974528739E-2</v>
      </c>
      <c r="M4" s="15">
        <f t="shared" si="0"/>
        <v>9.2741300582585451E-2</v>
      </c>
      <c r="N4" s="15">
        <f t="shared" si="0"/>
        <v>8.6599423631123829E-2</v>
      </c>
      <c r="O4" s="15">
        <f t="shared" si="0"/>
        <v>0.21721257127701898</v>
      </c>
      <c r="P4" s="15">
        <f t="shared" si="0"/>
        <v>0.12261684279333251</v>
      </c>
      <c r="Q4" s="15">
        <f t="shared" si="0"/>
        <v>0.1149012567324954</v>
      </c>
      <c r="R4" s="15">
        <f t="shared" si="0"/>
        <v>-4.92231361796579E-2</v>
      </c>
      <c r="S4" s="15">
        <f t="shared" si="0"/>
        <v>0.10340565778632249</v>
      </c>
      <c r="T4" s="15">
        <f t="shared" si="0"/>
        <v>0.21593030491599263</v>
      </c>
      <c r="U4" s="16">
        <f>(U3/T3)-1</f>
        <v>0.11258955987717512</v>
      </c>
      <c r="V4" s="16">
        <f>(V3/U3)-1</f>
        <v>0.11064090769702539</v>
      </c>
      <c r="W4" s="16">
        <f>(W3/V3)-1</f>
        <v>0.11629576453697066</v>
      </c>
      <c r="X4" s="16">
        <f>(X3/W3)-1</f>
        <v>7.0145931239178783E-2</v>
      </c>
      <c r="Y4" s="16">
        <f>(Y3/X3)-1</f>
        <v>0.15263717468682114</v>
      </c>
      <c r="Z4" s="17">
        <f>(T4+S4+R4)/3</f>
        <v>9.0037608840885741E-2</v>
      </c>
      <c r="AA4" s="17">
        <f>(T20+S20+R20)/3</f>
        <v>7.1610696112697061E-2</v>
      </c>
      <c r="AB4" s="17">
        <f>(T29+S29+R29)/3</f>
        <v>8.2472222506066228E-2</v>
      </c>
      <c r="AC4" s="17">
        <f>(T106+S106+R106)/3</f>
        <v>0.17814898881663144</v>
      </c>
    </row>
    <row r="5" spans="1:29" ht="19" x14ac:dyDescent="0.25">
      <c r="A5" s="5" t="s">
        <v>2</v>
      </c>
      <c r="B5" s="1" t="s">
        <v>91</v>
      </c>
      <c r="C5" s="1">
        <v>957011000</v>
      </c>
      <c r="D5" s="1" t="s">
        <v>91</v>
      </c>
      <c r="E5" s="1" t="s">
        <v>91</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91</v>
      </c>
      <c r="C6" s="10">
        <v>1707594000</v>
      </c>
      <c r="D6" s="10" t="s">
        <v>91</v>
      </c>
      <c r="E6" s="10" t="s">
        <v>91</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111</v>
      </c>
      <c r="AA6" s="60" t="s">
        <v>112</v>
      </c>
      <c r="AB6" s="60" t="s">
        <v>113</v>
      </c>
      <c r="AC6" s="60" t="s">
        <v>114</v>
      </c>
    </row>
    <row r="7" spans="1:29" ht="19" x14ac:dyDescent="0.25">
      <c r="A7" s="5" t="s">
        <v>4</v>
      </c>
      <c r="B7" s="2" t="s">
        <v>91</v>
      </c>
      <c r="C7" s="2">
        <v>0.64080000000000004</v>
      </c>
      <c r="D7" s="2" t="s">
        <v>91</v>
      </c>
      <c r="E7" s="2" t="s">
        <v>91</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U21</f>
        <v>0.69886537871818466</v>
      </c>
      <c r="AB7" s="20">
        <f>U30</f>
        <v>0.55243790248390068</v>
      </c>
      <c r="AC7" s="20">
        <f>U107/U3</f>
        <v>0.56148420729837478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94</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95</v>
      </c>
      <c r="AA9" s="19" t="s">
        <v>96</v>
      </c>
      <c r="AB9" s="19" t="s">
        <v>97</v>
      </c>
      <c r="AC9" s="19" t="s">
        <v>98</v>
      </c>
    </row>
    <row r="10" spans="1:29" ht="19" x14ac:dyDescent="0.25">
      <c r="A10" s="5" t="s">
        <v>6</v>
      </c>
      <c r="B10" s="1" t="s">
        <v>91</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91</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91</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115</v>
      </c>
      <c r="AA12" s="19" t="s">
        <v>116</v>
      </c>
      <c r="AB12" s="19" t="s">
        <v>117</v>
      </c>
      <c r="AC12" s="19" t="s">
        <v>118</v>
      </c>
    </row>
    <row r="13" spans="1:29" ht="19" x14ac:dyDescent="0.25">
      <c r="A13" s="14" t="s">
        <v>99</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91</v>
      </c>
      <c r="C14" s="1" t="s">
        <v>91</v>
      </c>
      <c r="D14" s="1" t="s">
        <v>91</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91</v>
      </c>
      <c r="C15" s="1">
        <v>1122338000</v>
      </c>
      <c r="D15" s="1" t="s">
        <v>91</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119</v>
      </c>
      <c r="AA15" s="19" t="s">
        <v>120</v>
      </c>
      <c r="AB15" s="19" t="s">
        <v>121</v>
      </c>
      <c r="AC15" s="19" t="s">
        <v>122</v>
      </c>
    </row>
    <row r="16" spans="1:29" ht="19" x14ac:dyDescent="0.25">
      <c r="A16" s="5" t="s">
        <v>11</v>
      </c>
      <c r="B16" s="1" t="s">
        <v>91</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5">
        <f>(T35+S35+R35+Q35+P35)/5</f>
        <v>-1.7868565059310757E-2</v>
      </c>
      <c r="AA16" s="27">
        <f>AB102/T3</f>
        <v>16.206501200272946</v>
      </c>
      <c r="AB16" s="27">
        <f>AB102/T28</f>
        <v>31.758544506251255</v>
      </c>
      <c r="AC16" s="28">
        <f>AB102/T107</f>
        <v>26.568183353655126</v>
      </c>
    </row>
    <row r="17" spans="1:29" ht="19" x14ac:dyDescent="0.25">
      <c r="A17" s="5" t="s">
        <v>12</v>
      </c>
      <c r="B17" s="1" t="s">
        <v>91</v>
      </c>
      <c r="C17" s="1">
        <v>108485000</v>
      </c>
      <c r="D17" s="1" t="s">
        <v>91</v>
      </c>
      <c r="E17" s="1">
        <v>80658000</v>
      </c>
      <c r="F17" s="1">
        <v>143000000</v>
      </c>
      <c r="G17" s="1">
        <v>115000000</v>
      </c>
      <c r="H17" s="1">
        <v>72000000</v>
      </c>
      <c r="I17" s="1">
        <v>32000000</v>
      </c>
      <c r="J17" s="1" t="s">
        <v>91</v>
      </c>
      <c r="K17" s="1" t="s">
        <v>91</v>
      </c>
      <c r="L17" s="1" t="s">
        <v>91</v>
      </c>
      <c r="M17" s="1" t="s">
        <v>91</v>
      </c>
      <c r="N17" s="1">
        <v>427000000</v>
      </c>
      <c r="O17" s="1">
        <v>563000000</v>
      </c>
      <c r="P17" s="1">
        <v>612000000</v>
      </c>
      <c r="Q17" s="1">
        <v>533000000</v>
      </c>
      <c r="R17" s="1">
        <v>516000000</v>
      </c>
      <c r="S17" s="1">
        <v>513000000</v>
      </c>
      <c r="T17" s="1">
        <v>538000000</v>
      </c>
    </row>
    <row r="18" spans="1:29" ht="20" x14ac:dyDescent="0.25">
      <c r="A18" s="5" t="s">
        <v>13</v>
      </c>
      <c r="B18" s="1" t="s">
        <v>91</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155</v>
      </c>
      <c r="AA18" s="19" t="s">
        <v>156</v>
      </c>
      <c r="AB18" s="19" t="s">
        <v>157</v>
      </c>
      <c r="AC18" s="19" t="s">
        <v>158</v>
      </c>
    </row>
    <row r="19" spans="1:29" ht="19" x14ac:dyDescent="0.25">
      <c r="A19" s="6" t="s">
        <v>14</v>
      </c>
      <c r="B19" s="10" t="s">
        <v>91</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U19" s="30">
        <v>22790000000</v>
      </c>
      <c r="V19" s="30">
        <v>25680000000</v>
      </c>
      <c r="W19" s="30">
        <v>28662000000</v>
      </c>
      <c r="X19" s="30">
        <v>30796000000</v>
      </c>
      <c r="Y19" s="30">
        <v>34173000000</v>
      </c>
      <c r="Z19" s="26">
        <f>T40-T56-T61</f>
        <v>-3928000000</v>
      </c>
      <c r="AA19" s="27">
        <f>AB102/U3</f>
        <v>14.56646888009813</v>
      </c>
      <c r="AB19" s="27">
        <f>AB102/U28</f>
        <v>26.367613110185957</v>
      </c>
      <c r="AC19" s="28">
        <f>AB102/U107</f>
        <v>25.942793565264882</v>
      </c>
    </row>
    <row r="20" spans="1:29" ht="19" customHeight="1" x14ac:dyDescent="0.25">
      <c r="A20" s="14" t="s">
        <v>100</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(P19/O19)-1</f>
        <v>9.5059704987122462E-2</v>
      </c>
      <c r="Q20" s="15">
        <f>(Q19/P19)-1</f>
        <v>0.14553488703584927</v>
      </c>
      <c r="R20" s="15">
        <f>(R19/Q19)-1</f>
        <v>-6.2216138866421966E-2</v>
      </c>
      <c r="S20" s="15">
        <f>(S19/R19)-1</f>
        <v>0.15305513169243024</v>
      </c>
      <c r="T20" s="15">
        <f t="shared" ref="T20:Y20" si="4">(T19/S19)-1</f>
        <v>0.12399309551208293</v>
      </c>
      <c r="U20" s="16">
        <f t="shared" si="4"/>
        <v>0.16662400819042733</v>
      </c>
      <c r="V20" s="16">
        <f t="shared" si="4"/>
        <v>0.12681000438788947</v>
      </c>
      <c r="W20" s="16">
        <f t="shared" si="4"/>
        <v>0.11612149532710281</v>
      </c>
      <c r="X20" s="16">
        <f t="shared" si="4"/>
        <v>7.4453980880608395E-2</v>
      </c>
      <c r="Y20" s="16">
        <f t="shared" si="4"/>
        <v>0.1096570983244578</v>
      </c>
    </row>
    <row r="21" spans="1:29" ht="20" x14ac:dyDescent="0.25">
      <c r="A21" s="5" t="s">
        <v>15</v>
      </c>
      <c r="B21" s="2" t="s">
        <v>91</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c r="U21" s="31">
        <f>U19/U3</f>
        <v>0.69886537871818466</v>
      </c>
      <c r="V21" s="31">
        <f>V19/V3</f>
        <v>0.70903970401457839</v>
      </c>
      <c r="W21" s="31">
        <f>W19/W3</f>
        <v>0.70892901310907741</v>
      </c>
      <c r="X21" s="31">
        <f>X19/X3</f>
        <v>0.71178292423612077</v>
      </c>
      <c r="Y21" s="31">
        <f>Y19/Y3</f>
        <v>0.68524162823340684</v>
      </c>
      <c r="AA21" s="42" t="s">
        <v>166</v>
      </c>
      <c r="AB21" s="18" t="s">
        <v>159</v>
      </c>
      <c r="AC21" s="19" t="s">
        <v>165</v>
      </c>
    </row>
    <row r="22" spans="1:29" ht="19" x14ac:dyDescent="0.25">
      <c r="A22" s="6" t="s">
        <v>16</v>
      </c>
      <c r="B22" s="10" t="s">
        <v>91</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c r="AA22" s="17">
        <f>SUM(U29:Y29)/5</f>
        <v>0.12474545942306228</v>
      </c>
      <c r="AB22" s="41">
        <f>(-1*T98)/AB102</f>
        <v>6.7429797355591211E-3</v>
      </c>
      <c r="AC22" s="29">
        <f>U107/AB102</f>
        <v>3.8546349971304246E-2</v>
      </c>
    </row>
    <row r="23" spans="1:29" ht="19" x14ac:dyDescent="0.25">
      <c r="A23" s="5" t="s">
        <v>17</v>
      </c>
      <c r="B23" s="2" t="s">
        <v>91</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9" ht="19" x14ac:dyDescent="0.25">
      <c r="A24" s="5" t="s">
        <v>18</v>
      </c>
      <c r="B24" s="1" t="s">
        <v>91</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9" ht="19" x14ac:dyDescent="0.25">
      <c r="A25" s="6" t="s">
        <v>19</v>
      </c>
      <c r="B25" s="10" t="s">
        <v>91</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9" ht="19" x14ac:dyDescent="0.25">
      <c r="A26" s="5" t="s">
        <v>20</v>
      </c>
      <c r="B26" s="2" t="s">
        <v>91</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9" ht="19" x14ac:dyDescent="0.25">
      <c r="A27" s="5" t="s">
        <v>21</v>
      </c>
      <c r="B27" s="1" t="s">
        <v>91</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9" ht="20" thickBot="1" x14ac:dyDescent="0.3">
      <c r="A28" s="7" t="s">
        <v>22</v>
      </c>
      <c r="B28" s="11" t="s">
        <v>91</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c r="U28" s="32">
        <v>18015000000</v>
      </c>
      <c r="V28" s="32">
        <v>20092000000</v>
      </c>
      <c r="W28" s="32">
        <v>22564000000</v>
      </c>
      <c r="X28" s="32">
        <v>24140000000</v>
      </c>
      <c r="Y28" s="32">
        <v>26822000000</v>
      </c>
    </row>
    <row r="29" spans="1:29" ht="20" customHeight="1" thickTop="1" x14ac:dyDescent="0.25">
      <c r="A29" s="14" t="s">
        <v>101</v>
      </c>
      <c r="B29" s="1"/>
      <c r="C29" s="15" t="e">
        <f>(C28/B28)-1</f>
        <v>#VALUE!</v>
      </c>
      <c r="D29" s="15">
        <f>(D28/C28)-1</f>
        <v>0.71726211839018372</v>
      </c>
      <c r="E29" s="15">
        <f>(E28/D28)-1</f>
        <v>-3.3673280373811214</v>
      </c>
      <c r="F29" s="15">
        <f t="shared" ref="F29:O29" si="5">(F28/E28)-1</f>
        <v>-1.7471459304243584</v>
      </c>
      <c r="G29" s="15">
        <f t="shared" si="5"/>
        <v>1.9266169154228856</v>
      </c>
      <c r="H29" s="15">
        <f t="shared" si="5"/>
        <v>0.2605184870378241</v>
      </c>
      <c r="I29" s="15">
        <f t="shared" si="5"/>
        <v>0.23061362103843552</v>
      </c>
      <c r="J29" s="15">
        <f t="shared" si="5"/>
        <v>-0.41260273972602735</v>
      </c>
      <c r="K29" s="15">
        <f t="shared" si="5"/>
        <v>1.3227611940298507</v>
      </c>
      <c r="L29" s="15">
        <f t="shared" si="5"/>
        <v>9.1967871485943764E-2</v>
      </c>
      <c r="M29" s="15">
        <f t="shared" si="5"/>
        <v>0.1636631114380287</v>
      </c>
      <c r="N29" s="15">
        <f t="shared" si="5"/>
        <v>-5.3255372945638424E-2</v>
      </c>
      <c r="O29" s="15">
        <f t="shared" si="5"/>
        <v>0.11817726589884825</v>
      </c>
      <c r="P29" s="15">
        <f>(P28/O28)-1</f>
        <v>0.53769219286460657</v>
      </c>
      <c r="Q29" s="15">
        <f>(Q28/P28)-1</f>
        <v>0.17270167944859716</v>
      </c>
      <c r="R29" s="15">
        <f>(R28/Q28)-1</f>
        <v>-0.10049668874172191</v>
      </c>
      <c r="S29" s="15">
        <f>(S28/R28)-1</f>
        <v>0.13298361862690955</v>
      </c>
      <c r="T29" s="15">
        <f t="shared" ref="T29:Y29" si="6">(T28/S28)-1</f>
        <v>0.21492973763301104</v>
      </c>
      <c r="U29" s="16">
        <f t="shared" si="6"/>
        <v>0.20445276459182993</v>
      </c>
      <c r="V29" s="16">
        <f t="shared" si="6"/>
        <v>0.11529281154593396</v>
      </c>
      <c r="W29" s="16">
        <f t="shared" si="6"/>
        <v>0.12303404340035828</v>
      </c>
      <c r="X29" s="16">
        <f t="shared" si="6"/>
        <v>6.984577202623643E-2</v>
      </c>
      <c r="Y29" s="16">
        <f t="shared" si="6"/>
        <v>0.11110190555095278</v>
      </c>
    </row>
    <row r="30" spans="1:29" ht="19" x14ac:dyDescent="0.25">
      <c r="A30" s="5" t="s">
        <v>23</v>
      </c>
      <c r="B30" s="2" t="s">
        <v>91</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c r="U30" s="33">
        <f>U28/U3</f>
        <v>0.55243790248390068</v>
      </c>
      <c r="V30" s="33">
        <f>V28/V3</f>
        <v>0.55475178088243415</v>
      </c>
      <c r="W30" s="33">
        <f>W28/W3</f>
        <v>0.55810042047984165</v>
      </c>
      <c r="X30" s="33">
        <f>X28/X3</f>
        <v>0.55794388203208056</v>
      </c>
      <c r="Y30" s="33">
        <f>Y28/Y3</f>
        <v>0.53783837978744742</v>
      </c>
    </row>
    <row r="31" spans="1:29" ht="19" x14ac:dyDescent="0.25">
      <c r="A31" s="5" t="s">
        <v>24</v>
      </c>
      <c r="B31" s="12" t="s">
        <v>91</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c r="U31" s="34">
        <v>8.7899999999999991</v>
      </c>
      <c r="V31" s="34">
        <v>9.81</v>
      </c>
      <c r="W31" s="34">
        <v>11.01</v>
      </c>
      <c r="X31" s="34">
        <v>11.78</v>
      </c>
      <c r="Y31" s="34">
        <v>13.09</v>
      </c>
    </row>
    <row r="32" spans="1:29" ht="19" x14ac:dyDescent="0.25">
      <c r="A32" s="5" t="s">
        <v>25</v>
      </c>
      <c r="B32" s="12" t="s">
        <v>91</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1" ht="19" x14ac:dyDescent="0.25">
      <c r="A33" s="5" t="s">
        <v>26</v>
      </c>
      <c r="B33" s="1" t="s">
        <v>91</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c r="U33" s="1" cm="1">
        <f t="array" ref="U33">_FV(A1,"Shares outstanding",TRUE)</f>
        <v>2035361000</v>
      </c>
    </row>
    <row r="34" spans="1:21" ht="19" x14ac:dyDescent="0.25">
      <c r="A34" s="5" t="s">
        <v>27</v>
      </c>
      <c r="B34" s="1" t="s">
        <v>91</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c r="U34" s="1" cm="1">
        <f t="array" ref="U34">_FV(A1,"Shares outstanding",TRUE)</f>
        <v>2035361000</v>
      </c>
    </row>
    <row r="35" spans="1:21" ht="20" customHeight="1" x14ac:dyDescent="0.25">
      <c r="A35" s="14" t="s">
        <v>102</v>
      </c>
      <c r="B35" s="1"/>
      <c r="C35" s="22" t="e">
        <f>(C34-B34)/B34</f>
        <v>#VALUE!</v>
      </c>
      <c r="D35" s="22">
        <f t="shared" ref="D35:O35" si="7">(D34-C34)/C34</f>
        <v>0</v>
      </c>
      <c r="E35" s="22">
        <f t="shared" si="7"/>
        <v>0</v>
      </c>
      <c r="F35" s="22">
        <f t="shared" si="7"/>
        <v>-7.7419354838709677E-3</v>
      </c>
      <c r="G35" s="22">
        <f t="shared" si="7"/>
        <v>-1.4304291287386216E-2</v>
      </c>
      <c r="H35" s="22">
        <f t="shared" si="7"/>
        <v>0.44591029023746703</v>
      </c>
      <c r="I35" s="22">
        <f t="shared" si="7"/>
        <v>-6.7518248175182483E-2</v>
      </c>
      <c r="J35" s="22">
        <f t="shared" si="7"/>
        <v>-5.6751467710371817E-2</v>
      </c>
      <c r="K35" s="22">
        <f t="shared" si="7"/>
        <v>-0.31950207468879666</v>
      </c>
      <c r="L35" s="22">
        <f t="shared" si="7"/>
        <v>-3.8109756097560975E-2</v>
      </c>
      <c r="M35" s="22">
        <f t="shared" si="7"/>
        <v>-2.6545166402535656E-2</v>
      </c>
      <c r="N35" s="22">
        <f t="shared" si="7"/>
        <v>-1.7501017501017502E-2</v>
      </c>
      <c r="O35" s="22">
        <f t="shared" si="7"/>
        <v>-7.870753935376968E-3</v>
      </c>
      <c r="P35" s="22">
        <f t="shared" ref="P35:U35" si="8">(P34-O34)/O34</f>
        <v>-2.7557411273486428E-2</v>
      </c>
      <c r="Q35" s="22">
        <f t="shared" si="8"/>
        <v>-2.4474023185916703E-2</v>
      </c>
      <c r="R35" s="22">
        <f t="shared" si="8"/>
        <v>-2.1566901408450703E-2</v>
      </c>
      <c r="S35" s="22">
        <f t="shared" si="8"/>
        <v>-1.5744489428699954E-2</v>
      </c>
      <c r="T35" s="22">
        <f t="shared" si="8"/>
        <v>0</v>
      </c>
      <c r="U35" s="22">
        <f t="shared" si="8"/>
        <v>-6.9761882998171848E-2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1" ht="19" x14ac:dyDescent="0.25">
      <c r="A38" s="5" t="s">
        <v>30</v>
      </c>
      <c r="B38" s="1" t="s">
        <v>91</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1" ht="19" x14ac:dyDescent="0.25">
      <c r="A39" s="5" t="s">
        <v>31</v>
      </c>
      <c r="B39" s="1" t="s">
        <v>91</v>
      </c>
      <c r="C39" s="1" t="s">
        <v>91</v>
      </c>
      <c r="D39" s="1" t="s">
        <v>91</v>
      </c>
      <c r="E39" s="1" t="s">
        <v>91</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1" ht="19" x14ac:dyDescent="0.25">
      <c r="A40" s="5" t="s">
        <v>32</v>
      </c>
      <c r="B40" s="1" t="s">
        <v>91</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1" ht="19" x14ac:dyDescent="0.25">
      <c r="A41" s="5" t="s">
        <v>33</v>
      </c>
      <c r="B41" s="1" t="s">
        <v>91</v>
      </c>
      <c r="C41" s="1" t="s">
        <v>91</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1"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row>
    <row r="43" spans="1:21" ht="19" x14ac:dyDescent="0.25">
      <c r="A43" s="5" t="s">
        <v>35</v>
      </c>
      <c r="B43" s="1" t="s">
        <v>91</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1" ht="19" x14ac:dyDescent="0.25">
      <c r="A44" s="6" t="s">
        <v>36</v>
      </c>
      <c r="B44" s="10" t="s">
        <v>91</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1" ht="19" x14ac:dyDescent="0.25">
      <c r="A45" s="5" t="s">
        <v>37</v>
      </c>
      <c r="B45" s="1" t="s">
        <v>91</v>
      </c>
      <c r="C45" s="1" t="s">
        <v>91</v>
      </c>
      <c r="D45" s="1" t="s">
        <v>91</v>
      </c>
      <c r="E45" s="1" t="s">
        <v>91</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1" ht="19" x14ac:dyDescent="0.25">
      <c r="A46" s="5" t="s">
        <v>38</v>
      </c>
      <c r="B46" s="1" t="s">
        <v>91</v>
      </c>
      <c r="C46" s="1" t="s">
        <v>91</v>
      </c>
      <c r="D46" s="1" t="s">
        <v>91</v>
      </c>
      <c r="E46" s="1" t="s">
        <v>91</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1" ht="19" x14ac:dyDescent="0.25">
      <c r="A47" s="5" t="s">
        <v>39</v>
      </c>
      <c r="B47" s="1" t="s">
        <v>91</v>
      </c>
      <c r="C47" s="1" t="s">
        <v>91</v>
      </c>
      <c r="D47" s="1" t="s">
        <v>91</v>
      </c>
      <c r="E47" s="1" t="s">
        <v>91</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1" ht="19" x14ac:dyDescent="0.25">
      <c r="A48" s="5" t="s">
        <v>40</v>
      </c>
      <c r="B48" s="1" t="s">
        <v>91</v>
      </c>
      <c r="C48" s="1" t="s">
        <v>91</v>
      </c>
      <c r="D48" s="1" t="s">
        <v>91</v>
      </c>
      <c r="E48" s="1" t="s">
        <v>91</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91</v>
      </c>
      <c r="C49" s="1" t="s">
        <v>91</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91</v>
      </c>
      <c r="C50" s="1" t="s">
        <v>91</v>
      </c>
      <c r="D50" s="1">
        <v>237533000</v>
      </c>
      <c r="E50" s="1">
        <v>470626000</v>
      </c>
      <c r="F50" s="1" t="s">
        <v>91</v>
      </c>
      <c r="G50" s="1" t="s">
        <v>91</v>
      </c>
      <c r="H50" s="1" t="s">
        <v>91</v>
      </c>
      <c r="I50" s="1" t="s">
        <v>91</v>
      </c>
      <c r="J50" s="1" t="s">
        <v>91</v>
      </c>
      <c r="K50" s="1" t="s">
        <v>91</v>
      </c>
      <c r="L50" s="1">
        <v>8000000</v>
      </c>
      <c r="M50" s="1">
        <v>11000000</v>
      </c>
      <c r="N50" s="1">
        <v>22000000</v>
      </c>
      <c r="O50" s="1" t="s">
        <v>91</v>
      </c>
      <c r="P50" s="1" t="s">
        <v>91</v>
      </c>
      <c r="Q50" s="1" t="s">
        <v>91</v>
      </c>
      <c r="R50" s="1" t="s">
        <v>91</v>
      </c>
      <c r="S50" s="1" t="s">
        <v>91</v>
      </c>
      <c r="T50" s="1" t="s">
        <v>91</v>
      </c>
    </row>
    <row r="51" spans="1:20" ht="19" x14ac:dyDescent="0.25">
      <c r="A51" s="5" t="s">
        <v>43</v>
      </c>
      <c r="B51" s="1" t="s">
        <v>91</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91</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19" x14ac:dyDescent="0.25">
      <c r="A54" s="7" t="s">
        <v>46</v>
      </c>
      <c r="B54" s="11" t="s">
        <v>91</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91</v>
      </c>
      <c r="C55" s="1" t="s">
        <v>91</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91</v>
      </c>
      <c r="C56" s="1">
        <v>174000000</v>
      </c>
      <c r="D56" s="1">
        <v>32339000</v>
      </c>
      <c r="E56" s="1">
        <v>41280000</v>
      </c>
      <c r="F56" s="1">
        <v>51000000</v>
      </c>
      <c r="G56" s="1">
        <v>12000000</v>
      </c>
      <c r="H56" s="1">
        <v>12000000</v>
      </c>
      <c r="I56" s="1" t="s">
        <v>91</v>
      </c>
      <c r="J56" s="1" t="s">
        <v>91</v>
      </c>
      <c r="K56" s="1" t="s">
        <v>91</v>
      </c>
      <c r="L56" s="1" t="s">
        <v>91</v>
      </c>
      <c r="M56" s="1" t="s">
        <v>91</v>
      </c>
      <c r="N56" s="1" t="s">
        <v>91</v>
      </c>
      <c r="O56" s="1">
        <v>1749000000</v>
      </c>
      <c r="P56" s="1" t="s">
        <v>91</v>
      </c>
      <c r="Q56" s="1" t="s">
        <v>91</v>
      </c>
      <c r="R56" s="1">
        <v>2999000000</v>
      </c>
      <c r="S56" s="1">
        <v>999000000</v>
      </c>
      <c r="T56" s="1">
        <v>2250000000</v>
      </c>
    </row>
    <row r="57" spans="1:20" ht="19" x14ac:dyDescent="0.25">
      <c r="A57" s="5" t="s">
        <v>49</v>
      </c>
      <c r="B57" s="1" t="s">
        <v>91</v>
      </c>
      <c r="C57" s="1" t="s">
        <v>91</v>
      </c>
      <c r="D57" s="1" t="s">
        <v>91</v>
      </c>
      <c r="E57" s="1">
        <v>148551000</v>
      </c>
      <c r="F57" s="1">
        <v>122000000</v>
      </c>
      <c r="G57" s="1">
        <v>327000000</v>
      </c>
      <c r="H57" s="1">
        <v>40000000</v>
      </c>
      <c r="I57" s="1">
        <v>63000000</v>
      </c>
      <c r="J57" s="1">
        <v>58000000</v>
      </c>
      <c r="K57" s="1">
        <v>64000000</v>
      </c>
      <c r="L57" s="1">
        <v>73000000</v>
      </c>
      <c r="M57" s="1">
        <v>75000000</v>
      </c>
      <c r="N57" s="1">
        <v>153000000</v>
      </c>
      <c r="O57" s="1">
        <v>243000000</v>
      </c>
      <c r="P57" s="1" t="s">
        <v>91</v>
      </c>
      <c r="Q57" s="1" t="s">
        <v>91</v>
      </c>
      <c r="R57" s="1" t="s">
        <v>91</v>
      </c>
      <c r="S57" s="1" t="s">
        <v>91</v>
      </c>
      <c r="T57" s="1" t="s">
        <v>91</v>
      </c>
    </row>
    <row r="58" spans="1:20" ht="19" x14ac:dyDescent="0.25">
      <c r="A58" s="5" t="s">
        <v>50</v>
      </c>
      <c r="B58" s="1" t="s">
        <v>91</v>
      </c>
      <c r="C58" s="1" t="s">
        <v>91</v>
      </c>
      <c r="D58" s="1" t="s">
        <v>91</v>
      </c>
      <c r="E58" s="1" t="s">
        <v>91</v>
      </c>
      <c r="F58" s="1">
        <v>37000000</v>
      </c>
      <c r="G58" s="1">
        <v>39000000</v>
      </c>
      <c r="H58" s="1">
        <v>42000000</v>
      </c>
      <c r="I58" s="1">
        <v>63000000</v>
      </c>
      <c r="J58" s="1">
        <v>59000000</v>
      </c>
      <c r="K58" s="1">
        <v>60000000</v>
      </c>
      <c r="L58" s="1">
        <v>82000000</v>
      </c>
      <c r="M58" s="1">
        <v>81000000</v>
      </c>
      <c r="N58" s="1" t="s">
        <v>91</v>
      </c>
      <c r="O58" s="1" t="s">
        <v>91</v>
      </c>
      <c r="P58" s="1" t="s">
        <v>91</v>
      </c>
      <c r="Q58" s="1" t="s">
        <v>91</v>
      </c>
      <c r="R58" s="1" t="s">
        <v>91</v>
      </c>
      <c r="S58" s="1" t="s">
        <v>91</v>
      </c>
      <c r="T58" s="1" t="s">
        <v>91</v>
      </c>
    </row>
    <row r="59" spans="1:20" ht="19" x14ac:dyDescent="0.25">
      <c r="A59" s="5" t="s">
        <v>51</v>
      </c>
      <c r="B59" s="1" t="s">
        <v>91</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91</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91</v>
      </c>
      <c r="C61" s="1" t="s">
        <v>91</v>
      </c>
      <c r="D61" s="1">
        <v>41280000</v>
      </c>
      <c r="E61" s="1" t="s">
        <v>91</v>
      </c>
      <c r="F61" s="1">
        <v>55000000</v>
      </c>
      <c r="G61" s="1">
        <v>44000000</v>
      </c>
      <c r="H61" s="1">
        <v>32000000</v>
      </c>
      <c r="I61" s="1" t="s">
        <v>91</v>
      </c>
      <c r="J61" s="1" t="s">
        <v>91</v>
      </c>
      <c r="K61" s="1" t="s">
        <v>91</v>
      </c>
      <c r="L61" s="1" t="s">
        <v>91</v>
      </c>
      <c r="M61" s="1" t="s">
        <v>91</v>
      </c>
      <c r="N61" s="1">
        <v>15882000000</v>
      </c>
      <c r="O61" s="1">
        <v>16618000000</v>
      </c>
      <c r="P61" s="1">
        <v>16630000000</v>
      </c>
      <c r="Q61" s="1">
        <v>16729000000</v>
      </c>
      <c r="R61" s="1">
        <v>21071000000</v>
      </c>
      <c r="S61" s="1">
        <v>19978000000</v>
      </c>
      <c r="T61" s="1">
        <v>20200000000</v>
      </c>
    </row>
    <row r="62" spans="1:2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row>
    <row r="63" spans="1:20" ht="19" x14ac:dyDescent="0.25">
      <c r="A63" s="5" t="s">
        <v>54</v>
      </c>
      <c r="B63" s="1" t="s">
        <v>91</v>
      </c>
      <c r="C63" s="1" t="s">
        <v>91</v>
      </c>
      <c r="D63" s="1" t="s">
        <v>91</v>
      </c>
      <c r="E63" s="1" t="s">
        <v>91</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91</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91</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t="s">
        <v>91</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v>21869000000</v>
      </c>
    </row>
    <row r="69" spans="1:20" ht="19" x14ac:dyDescent="0.25">
      <c r="A69" s="5" t="s">
        <v>60</v>
      </c>
      <c r="B69" s="1" t="s">
        <v>91</v>
      </c>
      <c r="C69" s="1" t="s">
        <v>91</v>
      </c>
      <c r="D69" s="1" t="s">
        <v>91</v>
      </c>
      <c r="E69" s="1" t="s">
        <v>91</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91</v>
      </c>
      <c r="C70" s="1" t="s">
        <v>91</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91</v>
      </c>
      <c r="C71" s="1">
        <v>-440000000</v>
      </c>
      <c r="D71" s="1" t="s">
        <v>91</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91</v>
      </c>
    </row>
    <row r="72" spans="1:20" ht="19" x14ac:dyDescent="0.25">
      <c r="A72" s="6" t="s">
        <v>63</v>
      </c>
      <c r="B72" s="10" t="s">
        <v>91</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91</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t="s">
        <v>91</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91</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91</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91</v>
      </c>
      <c r="C79" s="1" t="s">
        <v>91</v>
      </c>
      <c r="D79" s="1" t="s">
        <v>91</v>
      </c>
      <c r="E79" s="1" t="s">
        <v>91</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103</v>
      </c>
      <c r="B80" s="15" t="e">
        <f t="shared" ref="B80:T80" si="9">B79/B3</f>
        <v>#VALUE!</v>
      </c>
      <c r="C80" s="15" t="e">
        <f t="shared" si="9"/>
        <v>#VALUE!</v>
      </c>
      <c r="D80" s="15" t="e">
        <f t="shared" si="9"/>
        <v>#VALUE!</v>
      </c>
      <c r="E80" s="15" t="e">
        <f t="shared" si="9"/>
        <v>#VALUE!</v>
      </c>
      <c r="F80" s="15">
        <f t="shared" si="9"/>
        <v>1.181542391825004E-2</v>
      </c>
      <c r="G80" s="15">
        <f t="shared" si="9"/>
        <v>1.6640138908985674E-2</v>
      </c>
      <c r="H80" s="15">
        <f t="shared" si="9"/>
        <v>1.6243025418474891E-2</v>
      </c>
      <c r="I80" s="15">
        <f t="shared" si="9"/>
        <v>1.6760992599042228E-2</v>
      </c>
      <c r="J80" s="15">
        <f t="shared" si="9"/>
        <v>1.4106131849150754E-2</v>
      </c>
      <c r="K80" s="15">
        <f t="shared" si="9"/>
        <v>1.5197826456104601E-2</v>
      </c>
      <c r="L80" s="15">
        <f t="shared" si="9"/>
        <v>1.3541174618170367E-2</v>
      </c>
      <c r="M80" s="15">
        <f t="shared" si="9"/>
        <v>1.3472622478386168E-2</v>
      </c>
      <c r="N80" s="15">
        <f t="shared" si="9"/>
        <v>1.4653229014719533E-2</v>
      </c>
      <c r="O80" s="15">
        <f t="shared" si="9"/>
        <v>1.2800958710099139E-2</v>
      </c>
      <c r="P80" s="15">
        <f t="shared" si="9"/>
        <v>1.5866854286962006E-2</v>
      </c>
      <c r="Q80" s="15">
        <f t="shared" si="9"/>
        <v>1.7713365539452495E-2</v>
      </c>
      <c r="R80" s="15">
        <f t="shared" si="9"/>
        <v>1.9042387622448045E-2</v>
      </c>
      <c r="S80" s="15">
        <f t="shared" si="9"/>
        <v>2.2484961626218627E-2</v>
      </c>
      <c r="T80" s="15">
        <f t="shared" si="9"/>
        <v>2.0539065165472534E-2</v>
      </c>
    </row>
    <row r="81" spans="1:28" ht="19" x14ac:dyDescent="0.25">
      <c r="A81" s="5" t="s">
        <v>69</v>
      </c>
      <c r="B81" s="1" t="s">
        <v>91</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91</v>
      </c>
      <c r="C82" s="1">
        <v>-14285000</v>
      </c>
      <c r="D82" s="1" t="s">
        <v>91</v>
      </c>
      <c r="E82" s="1" t="s">
        <v>91</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row>
    <row r="84" spans="1:28" ht="19" customHeight="1" x14ac:dyDescent="0.25">
      <c r="A84" s="5" t="s">
        <v>47</v>
      </c>
      <c r="B84" s="1" t="s">
        <v>91</v>
      </c>
      <c r="C84" s="1">
        <v>56580000</v>
      </c>
      <c r="D84" s="1" t="s">
        <v>91</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U84" s="43"/>
      <c r="V84" s="43"/>
      <c r="W84" s="43"/>
      <c r="X84" s="43"/>
      <c r="Y84" s="43"/>
      <c r="Z84" s="43"/>
      <c r="AA84" s="70" t="s">
        <v>123</v>
      </c>
      <c r="AB84" s="71"/>
    </row>
    <row r="85" spans="1:28" ht="20" customHeight="1" x14ac:dyDescent="0.25">
      <c r="A85" s="5" t="s">
        <v>71</v>
      </c>
      <c r="B85" s="1" t="s">
        <v>91</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U85" s="43"/>
      <c r="V85" s="43"/>
      <c r="W85" s="43"/>
      <c r="X85" s="43"/>
      <c r="Y85" s="43"/>
      <c r="Z85" s="43"/>
      <c r="AA85" s="72" t="s">
        <v>124</v>
      </c>
      <c r="AB85" s="72"/>
    </row>
    <row r="86" spans="1:28" ht="20" x14ac:dyDescent="0.25">
      <c r="A86" s="5" t="s">
        <v>72</v>
      </c>
      <c r="B86" s="1" t="s">
        <v>91</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U86" s="43"/>
      <c r="V86" s="43"/>
      <c r="W86" s="43"/>
      <c r="X86" s="43"/>
      <c r="Y86" s="43"/>
      <c r="Z86" s="43"/>
      <c r="AA86" s="36" t="s">
        <v>125</v>
      </c>
      <c r="AB86" s="53">
        <f>T17</f>
        <v>538000000</v>
      </c>
    </row>
    <row r="87" spans="1:28" ht="20" x14ac:dyDescent="0.25">
      <c r="A87" s="6" t="s">
        <v>73</v>
      </c>
      <c r="B87" s="10" t="s">
        <v>91</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U87" s="43"/>
      <c r="V87" s="43"/>
      <c r="W87" s="43"/>
      <c r="X87" s="43"/>
      <c r="Y87" s="43"/>
      <c r="Z87" s="43"/>
      <c r="AA87" s="36" t="s">
        <v>126</v>
      </c>
      <c r="AB87" s="53">
        <f>T56</f>
        <v>2250000000</v>
      </c>
    </row>
    <row r="88" spans="1:28" ht="20" x14ac:dyDescent="0.25">
      <c r="A88" s="5" t="s">
        <v>74</v>
      </c>
      <c r="B88" s="1" t="s">
        <v>91</v>
      </c>
      <c r="C88" s="1">
        <v>-119267000</v>
      </c>
      <c r="D88" s="1" t="s">
        <v>91</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U88" s="43"/>
      <c r="V88" s="43"/>
      <c r="W88" s="43"/>
      <c r="X88" s="43"/>
      <c r="Y88" s="43"/>
      <c r="Z88" s="43"/>
      <c r="AA88" s="36" t="s">
        <v>127</v>
      </c>
      <c r="AB88" s="53">
        <f>T61</f>
        <v>20200000000</v>
      </c>
    </row>
    <row r="89" spans="1:28" ht="20" customHeight="1" x14ac:dyDescent="0.25">
      <c r="A89" s="14" t="s">
        <v>104</v>
      </c>
      <c r="B89" s="15" t="e">
        <f t="shared" ref="B89:T89" si="10">(-1*B88)/B3</f>
        <v>#VALUE!</v>
      </c>
      <c r="C89" s="15">
        <f t="shared" si="10"/>
        <v>4.4759729866152773E-2</v>
      </c>
      <c r="D89" s="15" t="e">
        <f t="shared" si="10"/>
        <v>#VALUE!</v>
      </c>
      <c r="E89" s="15">
        <f t="shared" si="10"/>
        <v>4.4559635143612615E-2</v>
      </c>
      <c r="F89" s="15">
        <f t="shared" si="10"/>
        <v>6.6262174676672517E-2</v>
      </c>
      <c r="G89" s="15">
        <f t="shared" si="10"/>
        <v>4.427723918390971E-2</v>
      </c>
      <c r="H89" s="15">
        <f t="shared" si="10"/>
        <v>2.9882207067575946E-2</v>
      </c>
      <c r="I89" s="15">
        <f t="shared" si="10"/>
        <v>3.8419677840661734E-2</v>
      </c>
      <c r="J89" s="15">
        <f t="shared" si="10"/>
        <v>3.6080990308031857E-2</v>
      </c>
      <c r="K89" s="15">
        <f t="shared" si="10"/>
        <v>0</v>
      </c>
      <c r="L89" s="15">
        <f t="shared" si="10"/>
        <v>0</v>
      </c>
      <c r="M89" s="15">
        <f t="shared" si="10"/>
        <v>0</v>
      </c>
      <c r="N89" s="15">
        <f t="shared" si="10"/>
        <v>0</v>
      </c>
      <c r="O89" s="15">
        <f t="shared" si="10"/>
        <v>0</v>
      </c>
      <c r="P89" s="15">
        <f t="shared" si="10"/>
        <v>0</v>
      </c>
      <c r="Q89" s="15">
        <f t="shared" si="10"/>
        <v>3.2902467685076382E-2</v>
      </c>
      <c r="R89" s="15">
        <f t="shared" si="10"/>
        <v>3.3690378101254234E-2</v>
      </c>
      <c r="S89" s="15">
        <f t="shared" si="10"/>
        <v>2.924704418170504E-2</v>
      </c>
      <c r="T89" s="15">
        <f t="shared" si="10"/>
        <v>3.3094506994199933E-2</v>
      </c>
      <c r="U89" s="43"/>
      <c r="V89" s="43"/>
      <c r="W89" s="43"/>
      <c r="X89" s="43"/>
      <c r="Y89" s="43"/>
      <c r="Z89" s="43"/>
      <c r="AA89" s="37" t="s">
        <v>128</v>
      </c>
      <c r="AB89" s="54">
        <f>AB86/(AB87+AB88)</f>
        <v>2.396436525612472E-2</v>
      </c>
    </row>
    <row r="90" spans="1:28" ht="20" x14ac:dyDescent="0.25">
      <c r="A90" s="5" t="s">
        <v>75</v>
      </c>
      <c r="B90" s="1" t="s">
        <v>91</v>
      </c>
      <c r="C90" s="1">
        <v>97424000</v>
      </c>
      <c r="D90" s="1" t="s">
        <v>91</v>
      </c>
      <c r="E90" s="1">
        <v>-2500000</v>
      </c>
      <c r="F90" s="1" t="s">
        <v>91</v>
      </c>
      <c r="G90" s="1" t="s">
        <v>91</v>
      </c>
      <c r="H90" s="1">
        <v>-1805000000</v>
      </c>
      <c r="I90" s="1">
        <v>-268000000</v>
      </c>
      <c r="J90" s="1">
        <v>-3000000</v>
      </c>
      <c r="K90" s="1" t="s">
        <v>91</v>
      </c>
      <c r="L90" s="1">
        <v>-149000000</v>
      </c>
      <c r="M90" s="1">
        <v>-93000000</v>
      </c>
      <c r="N90" s="1">
        <v>-9082000000</v>
      </c>
      <c r="O90" s="1">
        <v>-302000000</v>
      </c>
      <c r="P90" s="1">
        <v>-196000000</v>
      </c>
      <c r="Q90" s="1">
        <v>-699000000</v>
      </c>
      <c r="R90" s="1">
        <v>-77000000</v>
      </c>
      <c r="S90" s="1">
        <v>-75000000</v>
      </c>
      <c r="T90" s="1">
        <v>-1948000000</v>
      </c>
      <c r="U90" s="43"/>
      <c r="V90" s="43"/>
      <c r="W90" s="43"/>
      <c r="X90" s="43"/>
      <c r="Y90" s="43"/>
      <c r="Z90" s="43"/>
      <c r="AA90" s="36" t="s">
        <v>105</v>
      </c>
      <c r="AB90" s="53">
        <f>T27</f>
        <v>3179000000</v>
      </c>
    </row>
    <row r="91" spans="1:28" ht="20" x14ac:dyDescent="0.25">
      <c r="A91" s="5" t="s">
        <v>76</v>
      </c>
      <c r="B91" s="1" t="s">
        <v>91</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U91" s="43"/>
      <c r="V91" s="43"/>
      <c r="W91" s="43"/>
      <c r="X91" s="43"/>
      <c r="Y91" s="43"/>
      <c r="Z91" s="43"/>
      <c r="AA91" s="36" t="s">
        <v>19</v>
      </c>
      <c r="AB91" s="53">
        <f>T25</f>
        <v>18136000000</v>
      </c>
    </row>
    <row r="92" spans="1:28" ht="20" x14ac:dyDescent="0.25">
      <c r="A92" s="5" t="s">
        <v>77</v>
      </c>
      <c r="B92" s="1" t="s">
        <v>91</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U92" s="43"/>
      <c r="V92" s="43"/>
      <c r="W92" s="43"/>
      <c r="X92" s="43"/>
      <c r="Y92" s="43"/>
      <c r="Z92" s="43"/>
      <c r="AA92" s="37" t="s">
        <v>129</v>
      </c>
      <c r="AB92" s="54">
        <f>AB90/AB91</f>
        <v>0.17528672254080283</v>
      </c>
    </row>
    <row r="93" spans="1:28" ht="19" customHeight="1" x14ac:dyDescent="0.25">
      <c r="A93" s="5" t="s">
        <v>78</v>
      </c>
      <c r="B93" s="1" t="s">
        <v>91</v>
      </c>
      <c r="C93" s="1">
        <v>20000000</v>
      </c>
      <c r="D93" s="1">
        <v>-87265000</v>
      </c>
      <c r="E93" s="1">
        <v>478000</v>
      </c>
      <c r="F93" s="1">
        <v>1028000000</v>
      </c>
      <c r="G93" s="1">
        <v>886000000</v>
      </c>
      <c r="H93" s="1">
        <v>94000000</v>
      </c>
      <c r="I93" s="1" t="s">
        <v>91</v>
      </c>
      <c r="J93" s="1">
        <v>2000000</v>
      </c>
      <c r="K93" s="1">
        <v>-471000000</v>
      </c>
      <c r="L93" s="1">
        <v>-553000000</v>
      </c>
      <c r="M93" s="1">
        <v>-404000000</v>
      </c>
      <c r="N93" s="1">
        <v>-523000000</v>
      </c>
      <c r="O93" s="1">
        <v>-695000000</v>
      </c>
      <c r="P93" s="1">
        <v>-704000000</v>
      </c>
      <c r="Q93" s="1">
        <v>10000000</v>
      </c>
      <c r="R93" s="1">
        <v>72000000</v>
      </c>
      <c r="S93" s="1">
        <v>109000000</v>
      </c>
      <c r="T93" s="1">
        <v>128000000</v>
      </c>
      <c r="U93" s="43"/>
      <c r="V93" s="43"/>
      <c r="W93" s="43"/>
      <c r="X93" s="43"/>
      <c r="Y93" s="43"/>
      <c r="Z93" s="43"/>
      <c r="AA93" s="37" t="s">
        <v>130</v>
      </c>
      <c r="AB93" s="54">
        <f>AB89*(1-AB92)</f>
        <v>1.9763730212607931E-2</v>
      </c>
    </row>
    <row r="94" spans="1:28" ht="20" customHeight="1" x14ac:dyDescent="0.25">
      <c r="A94" s="6" t="s">
        <v>79</v>
      </c>
      <c r="B94" s="10" t="s">
        <v>91</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U94" s="43"/>
      <c r="V94" s="43"/>
      <c r="W94" s="43"/>
      <c r="X94" s="43"/>
      <c r="Y94" s="43"/>
      <c r="Z94" s="43"/>
      <c r="AA94" s="72" t="s">
        <v>131</v>
      </c>
      <c r="AB94" s="72"/>
    </row>
    <row r="95" spans="1:28" ht="20" x14ac:dyDescent="0.25">
      <c r="A95" s="5" t="s">
        <v>80</v>
      </c>
      <c r="B95" s="1" t="s">
        <v>91</v>
      </c>
      <c r="C95" s="1">
        <v>-33768000</v>
      </c>
      <c r="D95" s="1">
        <v>-36579000</v>
      </c>
      <c r="E95" s="1">
        <v>-36651000</v>
      </c>
      <c r="F95" s="1">
        <v>-24000000</v>
      </c>
      <c r="G95" s="1">
        <v>-54000000</v>
      </c>
      <c r="H95" s="1">
        <v>-24000000</v>
      </c>
      <c r="I95" s="1">
        <v>-54000000</v>
      </c>
      <c r="J95" s="1">
        <v>-6000000</v>
      </c>
      <c r="K95" s="1">
        <v>-6000000</v>
      </c>
      <c r="L95" s="1" t="s">
        <v>91</v>
      </c>
      <c r="M95" s="1" t="s">
        <v>91</v>
      </c>
      <c r="N95" s="1" t="s">
        <v>91</v>
      </c>
      <c r="O95" s="1" t="s">
        <v>91</v>
      </c>
      <c r="P95" s="1">
        <v>-1750000000</v>
      </c>
      <c r="Q95" s="1" t="s">
        <v>91</v>
      </c>
      <c r="R95" s="1" t="s">
        <v>91</v>
      </c>
      <c r="S95" s="1">
        <v>-3000000000</v>
      </c>
      <c r="T95" s="1">
        <v>-1000000000</v>
      </c>
      <c r="U95" s="43"/>
      <c r="V95" s="43"/>
      <c r="W95" s="43"/>
      <c r="X95" s="43"/>
      <c r="Y95" s="43"/>
      <c r="Z95" s="43"/>
      <c r="AA95" s="36" t="s">
        <v>132</v>
      </c>
      <c r="AB95" s="55">
        <f>'[1]US Treasury Bonds'!$C$8</f>
        <v>4.9880000000000008E-2</v>
      </c>
    </row>
    <row r="96" spans="1:28" ht="20" x14ac:dyDescent="0.25">
      <c r="A96" s="5" t="s">
        <v>81</v>
      </c>
      <c r="B96" s="1" t="s">
        <v>91</v>
      </c>
      <c r="C96" s="1" t="s">
        <v>91</v>
      </c>
      <c r="D96" s="1" t="s">
        <v>91</v>
      </c>
      <c r="E96" s="1" t="s">
        <v>91</v>
      </c>
      <c r="F96" s="1">
        <v>19100000000</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43"/>
      <c r="V96" s="43"/>
      <c r="W96" s="43"/>
      <c r="X96" s="43"/>
      <c r="Y96" s="43"/>
      <c r="Z96" s="43"/>
      <c r="AA96" s="36" t="s">
        <v>133</v>
      </c>
      <c r="AB96" s="56" cm="1">
        <f t="array" ref="AB96">_FV(A1,"Beta")</f>
        <v>0.95199999999999996</v>
      </c>
    </row>
    <row r="97" spans="1:28" ht="20" x14ac:dyDescent="0.25">
      <c r="A97" s="5" t="s">
        <v>82</v>
      </c>
      <c r="B97" s="1" t="s">
        <v>91</v>
      </c>
      <c r="C97" s="1" t="s">
        <v>91</v>
      </c>
      <c r="D97" s="1" t="s">
        <v>91</v>
      </c>
      <c r="E97" s="1" t="s">
        <v>91</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U97" s="43"/>
      <c r="V97" s="43"/>
      <c r="W97" s="43"/>
      <c r="X97" s="43"/>
      <c r="Y97" s="43"/>
      <c r="Z97" s="43"/>
      <c r="AA97" s="36" t="s">
        <v>134</v>
      </c>
      <c r="AB97" s="55">
        <v>8.4000000000000005E-2</v>
      </c>
    </row>
    <row r="98" spans="1:28" ht="19" customHeight="1" x14ac:dyDescent="0.25">
      <c r="A98" s="5" t="s">
        <v>83</v>
      </c>
      <c r="B98" s="1" t="s">
        <v>91</v>
      </c>
      <c r="C98" s="1" t="s">
        <v>91</v>
      </c>
      <c r="D98" s="1" t="s">
        <v>91</v>
      </c>
      <c r="E98" s="1" t="s">
        <v>91</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U98" s="43"/>
      <c r="V98" s="43"/>
      <c r="W98" s="43"/>
      <c r="X98" s="43"/>
      <c r="Y98" s="43"/>
      <c r="Z98" s="43"/>
      <c r="AA98" s="37" t="s">
        <v>135</v>
      </c>
      <c r="AB98" s="54">
        <f>(AB95)+((AB96)*(AB97-AB95))</f>
        <v>8.2362240000000003E-2</v>
      </c>
    </row>
    <row r="99" spans="1:28" ht="20" customHeight="1" x14ac:dyDescent="0.25">
      <c r="A99" s="5" t="s">
        <v>84</v>
      </c>
      <c r="B99" s="1" t="s">
        <v>91</v>
      </c>
      <c r="C99" s="1">
        <v>-12198000</v>
      </c>
      <c r="D99" s="1" t="s">
        <v>91</v>
      </c>
      <c r="E99" s="1" t="s">
        <v>91</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U99" s="43"/>
      <c r="V99" s="43"/>
      <c r="W99" s="43"/>
      <c r="X99" s="43"/>
      <c r="Y99" s="43"/>
      <c r="Z99" s="43"/>
      <c r="AA99" s="72" t="s">
        <v>136</v>
      </c>
      <c r="AB99" s="72"/>
    </row>
    <row r="100" spans="1:28" ht="20" x14ac:dyDescent="0.25">
      <c r="A100" s="6" t="s">
        <v>85</v>
      </c>
      <c r="B100" s="10" t="s">
        <v>91</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U100" s="43"/>
      <c r="V100" s="43"/>
      <c r="W100" s="43"/>
      <c r="X100" s="43"/>
      <c r="Y100" s="43"/>
      <c r="Z100" s="43"/>
      <c r="AA100" s="36" t="s">
        <v>137</v>
      </c>
      <c r="AB100" s="53">
        <f>AB87+AB88</f>
        <v>22450000000</v>
      </c>
    </row>
    <row r="101" spans="1:28" ht="20" x14ac:dyDescent="0.25">
      <c r="A101" s="5" t="s">
        <v>86</v>
      </c>
      <c r="B101" s="1" t="s">
        <v>91</v>
      </c>
      <c r="C101" s="1" t="s">
        <v>91</v>
      </c>
      <c r="D101" s="1" t="s">
        <v>91</v>
      </c>
      <c r="E101" s="1" t="s">
        <v>91</v>
      </c>
      <c r="F101" s="1">
        <v>-5000000</v>
      </c>
      <c r="G101" s="1">
        <v>1000000</v>
      </c>
      <c r="H101" s="1">
        <v>5000000</v>
      </c>
      <c r="I101" s="1">
        <v>-9000000</v>
      </c>
      <c r="J101" s="1">
        <v>7000000</v>
      </c>
      <c r="K101" s="1" t="s">
        <v>91</v>
      </c>
      <c r="L101" s="1">
        <v>-1000000</v>
      </c>
      <c r="M101" s="1">
        <v>1000000</v>
      </c>
      <c r="N101" s="1">
        <v>-34000000</v>
      </c>
      <c r="O101" s="1">
        <v>236000000</v>
      </c>
      <c r="P101" s="1">
        <v>-101000000</v>
      </c>
      <c r="Q101" s="1">
        <v>-277000000</v>
      </c>
      <c r="R101" s="1">
        <v>440000000</v>
      </c>
      <c r="S101" s="1">
        <v>-37000000</v>
      </c>
      <c r="T101" s="1">
        <v>-1287000000</v>
      </c>
      <c r="U101" s="43"/>
      <c r="V101" s="43"/>
      <c r="W101" s="43"/>
      <c r="X101" s="43"/>
      <c r="Y101" s="43"/>
      <c r="Z101" s="43"/>
      <c r="AA101" s="37" t="s">
        <v>138</v>
      </c>
      <c r="AB101" s="54">
        <f>AB100/AB104</f>
        <v>4.512902527411717E-2</v>
      </c>
    </row>
    <row r="102" spans="1:28" ht="20" x14ac:dyDescent="0.25">
      <c r="A102" s="6" t="s">
        <v>87</v>
      </c>
      <c r="B102" s="10" t="s">
        <v>91</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U102" s="43"/>
      <c r="V102" s="43"/>
      <c r="W102" s="43"/>
      <c r="X102" s="43"/>
      <c r="Y102" s="43"/>
      <c r="Z102" s="43"/>
      <c r="AA102" s="36" t="s">
        <v>139</v>
      </c>
      <c r="AB102" s="57" cm="1">
        <f t="array" ref="AB102">_FV(A1,"Market cap",TRUE)</f>
        <v>475012550180</v>
      </c>
    </row>
    <row r="103" spans="1:28" ht="20" x14ac:dyDescent="0.25">
      <c r="A103" s="5" t="s">
        <v>88</v>
      </c>
      <c r="B103" s="1" t="s">
        <v>91</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U103" s="43"/>
      <c r="V103" s="43"/>
      <c r="W103" s="43"/>
      <c r="X103" s="43"/>
      <c r="Y103" s="43"/>
      <c r="Z103" s="43"/>
      <c r="AA103" s="37" t="s">
        <v>140</v>
      </c>
      <c r="AB103" s="54">
        <f>AB102/AB104</f>
        <v>0.95487097472588278</v>
      </c>
    </row>
    <row r="104" spans="1:28" ht="20" customHeight="1" thickBot="1" x14ac:dyDescent="0.3">
      <c r="A104" s="7" t="s">
        <v>89</v>
      </c>
      <c r="B104" s="11" t="s">
        <v>91</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U104" s="74" t="s">
        <v>114</v>
      </c>
      <c r="V104" s="74"/>
      <c r="W104" s="74"/>
      <c r="X104" s="74"/>
      <c r="Y104" s="74"/>
      <c r="Z104" s="43"/>
      <c r="AA104" s="37" t="s">
        <v>141</v>
      </c>
      <c r="AB104" s="58">
        <f>AB100+AB102</f>
        <v>497462550180</v>
      </c>
    </row>
    <row r="105" spans="1:28" ht="21" customHeight="1" thickTop="1" x14ac:dyDescent="0.25">
      <c r="A105" s="14" t="s">
        <v>160</v>
      </c>
      <c r="C105" s="1">
        <f t="shared" ref="C105:T105" si="11">((C22*(1-$AB$92))+C77+C88+C81)</f>
        <v>-343015212.94662547</v>
      </c>
      <c r="D105" s="1" t="e">
        <f t="shared" si="11"/>
        <v>#VALUE!</v>
      </c>
      <c r="E105" s="1">
        <f t="shared" si="11"/>
        <v>-1775635772.110719</v>
      </c>
      <c r="F105" s="1">
        <f t="shared" si="11"/>
        <v>-2499953242.170269</v>
      </c>
      <c r="G105" s="1">
        <f t="shared" si="11"/>
        <v>-424164424.34936047</v>
      </c>
      <c r="H105" s="1">
        <f t="shared" si="11"/>
        <v>1473609230.2602558</v>
      </c>
      <c r="I105" s="1">
        <f t="shared" si="11"/>
        <v>2400635641.81738</v>
      </c>
      <c r="J105" s="1">
        <f t="shared" si="11"/>
        <v>-378938299.51477718</v>
      </c>
      <c r="K105" s="1">
        <f t="shared" si="11"/>
        <v>6099415.5271282196</v>
      </c>
      <c r="L105" s="1">
        <f t="shared" si="11"/>
        <v>5530818096.6034412</v>
      </c>
      <c r="M105" s="1">
        <f t="shared" si="11"/>
        <v>4424201146.8901634</v>
      </c>
      <c r="N105" s="1">
        <f t="shared" si="11"/>
        <v>3477214766.2108517</v>
      </c>
      <c r="O105" s="1">
        <f t="shared" si="11"/>
        <v>5991318041.4644909</v>
      </c>
      <c r="P105" s="1">
        <f t="shared" si="11"/>
        <v>8639335796.20644</v>
      </c>
      <c r="Q105" s="1">
        <f t="shared" si="11"/>
        <v>5968523875.1654167</v>
      </c>
      <c r="R105" s="1">
        <f t="shared" si="11"/>
        <v>3245787659.902956</v>
      </c>
      <c r="S105" s="1">
        <f t="shared" si="11"/>
        <v>6430768636.9651527</v>
      </c>
      <c r="T105" s="1">
        <f t="shared" si="11"/>
        <v>7749330888.8398762</v>
      </c>
      <c r="U105" s="61">
        <f>U107/U3</f>
        <v>0.56148420729837478</v>
      </c>
      <c r="V105" s="61">
        <f>V107/V3</f>
        <v>0.56273123861063556</v>
      </c>
      <c r="W105" s="61">
        <f>W107/W3</f>
        <v>0.56302250803858522</v>
      </c>
      <c r="X105" s="61">
        <f>X107/X3</f>
        <v>0.55965423196043085</v>
      </c>
      <c r="Y105" s="61">
        <f>Y107/Y3</f>
        <v>0.54826549027471427</v>
      </c>
      <c r="Z105" s="62" t="s">
        <v>164</v>
      </c>
      <c r="AA105" s="72" t="s">
        <v>142</v>
      </c>
      <c r="AB105" s="72"/>
    </row>
    <row r="106" spans="1:28" ht="20" x14ac:dyDescent="0.25">
      <c r="A106" s="14" t="s">
        <v>161</v>
      </c>
      <c r="B106" s="1"/>
      <c r="C106" s="15" t="e">
        <f t="shared" ref="C106:T106" si="12">(C107/B107)-1</f>
        <v>#VALUE!</v>
      </c>
      <c r="D106" s="15">
        <f t="shared" si="12"/>
        <v>0.2024175203812244</v>
      </c>
      <c r="E106" s="15">
        <f t="shared" si="12"/>
        <v>0.16257238071566005</v>
      </c>
      <c r="F106" s="15">
        <f t="shared" si="12"/>
        <v>-0.77036387427818043</v>
      </c>
      <c r="G106" s="15">
        <f t="shared" si="12"/>
        <v>1.1724137931034484</v>
      </c>
      <c r="H106" s="15">
        <f t="shared" si="12"/>
        <v>8.7222222222222214</v>
      </c>
      <c r="I106" s="15">
        <f t="shared" si="12"/>
        <v>0.4363265306122448</v>
      </c>
      <c r="J106" s="15">
        <f t="shared" si="12"/>
        <v>0.31656720659278204</v>
      </c>
      <c r="K106" s="15">
        <f t="shared" si="12"/>
        <v>-0.44938484783077914</v>
      </c>
      <c r="L106" s="15">
        <f t="shared" si="12"/>
        <v>1.6076048608388867</v>
      </c>
      <c r="M106" s="15">
        <f t="shared" si="12"/>
        <v>-7.2459410703547777E-2</v>
      </c>
      <c r="N106" s="15">
        <f t="shared" si="12"/>
        <v>-0.18136142625607776</v>
      </c>
      <c r="O106" s="15">
        <f t="shared" si="12"/>
        <v>0.68303306275984954</v>
      </c>
      <c r="P106" s="15">
        <f t="shared" si="12"/>
        <v>0.41101046935654639</v>
      </c>
      <c r="Q106" s="15">
        <f t="shared" si="12"/>
        <v>2.7511463109628487E-3</v>
      </c>
      <c r="R106" s="15">
        <f t="shared" si="12"/>
        <v>-0.19321582973062856</v>
      </c>
      <c r="S106" s="15">
        <f t="shared" si="12"/>
        <v>0.49649629018961261</v>
      </c>
      <c r="T106" s="15">
        <f t="shared" si="12"/>
        <v>0.23116650599091026</v>
      </c>
      <c r="U106" s="45">
        <f>(U107/T107)-1</f>
        <v>2.4106493651770311E-2</v>
      </c>
      <c r="V106" s="45">
        <f>(V107/U107)-1</f>
        <v>0.11310759148006544</v>
      </c>
      <c r="W106" s="45">
        <f>(W107/V107)-1</f>
        <v>0.11687355870663851</v>
      </c>
      <c r="X106" s="45">
        <f>(X107/W107)-1</f>
        <v>6.3743794754645755E-2</v>
      </c>
      <c r="Y106" s="45">
        <f>(Y107/X107)-1</f>
        <v>0.12918146526802676</v>
      </c>
      <c r="Z106" s="49">
        <f>SUM(U106:Y106)/5</f>
        <v>8.9402580772229359E-2</v>
      </c>
      <c r="AA106" s="38" t="s">
        <v>106</v>
      </c>
      <c r="AB106" s="59">
        <f>(AB101*AB93)+(AB103*AB98)</f>
        <v>7.9537230269682721E-2</v>
      </c>
    </row>
    <row r="107" spans="1:28" ht="19" x14ac:dyDescent="0.25">
      <c r="A107" s="35" t="s">
        <v>162</v>
      </c>
      <c r="B107" s="1" t="s">
        <v>91</v>
      </c>
      <c r="C107" s="1">
        <v>361362000</v>
      </c>
      <c r="D107" s="1">
        <v>434508000</v>
      </c>
      <c r="E107" s="1">
        <v>505147000</v>
      </c>
      <c r="F107" s="1">
        <v>116000000</v>
      </c>
      <c r="G107" s="1">
        <v>252000000</v>
      </c>
      <c r="H107" s="1">
        <v>2450000000</v>
      </c>
      <c r="I107" s="1">
        <v>3519000000</v>
      </c>
      <c r="J107" s="1">
        <v>4633000000</v>
      </c>
      <c r="K107" s="1">
        <v>2551000000</v>
      </c>
      <c r="L107" s="1">
        <v>6652000000</v>
      </c>
      <c r="M107" s="1">
        <v>6170000000</v>
      </c>
      <c r="N107" s="1">
        <v>5051000000</v>
      </c>
      <c r="O107" s="1">
        <v>8501000000</v>
      </c>
      <c r="P107" s="1">
        <v>11995000000</v>
      </c>
      <c r="Q107" s="1">
        <v>12028000000</v>
      </c>
      <c r="R107" s="1">
        <v>9704000000</v>
      </c>
      <c r="S107" s="1">
        <v>14522000000</v>
      </c>
      <c r="T107" s="1">
        <v>17879000000</v>
      </c>
      <c r="U107" s="46">
        <v>18310000000</v>
      </c>
      <c r="V107" s="46">
        <v>20381000000</v>
      </c>
      <c r="W107" s="46">
        <v>22763000000</v>
      </c>
      <c r="X107" s="46">
        <v>24214000000</v>
      </c>
      <c r="Y107" s="46">
        <v>27342000000</v>
      </c>
      <c r="Z107" s="44" t="s">
        <v>163</v>
      </c>
      <c r="AA107" s="50" t="s">
        <v>167</v>
      </c>
      <c r="AB107" s="39">
        <f>(SUM(U4:Y4)/5)</f>
        <v>0.11246186760743422</v>
      </c>
    </row>
    <row r="108" spans="1:28" ht="19" x14ac:dyDescent="0.2">
      <c r="U108" s="63"/>
      <c r="V108" s="63"/>
      <c r="W108" s="63"/>
      <c r="X108" s="63"/>
      <c r="Y108" s="47">
        <f>Y107*(1+AB108)/(AB109-AB108)</f>
        <v>513879231882.8009</v>
      </c>
      <c r="Z108" s="48" t="s">
        <v>143</v>
      </c>
      <c r="AA108" s="51" t="s">
        <v>144</v>
      </c>
      <c r="AB108" s="40">
        <v>2.5000000000000001E-2</v>
      </c>
    </row>
    <row r="109" spans="1:28" ht="19" x14ac:dyDescent="0.2">
      <c r="U109" s="47">
        <f>U108+U107</f>
        <v>18310000000</v>
      </c>
      <c r="V109" s="47">
        <f>V108+V107</f>
        <v>20381000000</v>
      </c>
      <c r="W109" s="47">
        <f>W108+W107</f>
        <v>22763000000</v>
      </c>
      <c r="X109" s="47">
        <f>X108+X107</f>
        <v>24214000000</v>
      </c>
      <c r="Y109" s="47">
        <f>Y108+Y107</f>
        <v>541221231882.8009</v>
      </c>
      <c r="Z109" s="48" t="s">
        <v>141</v>
      </c>
      <c r="AA109" s="52" t="s">
        <v>145</v>
      </c>
      <c r="AB109" s="39">
        <f>AB106</f>
        <v>7.9537230269682721E-2</v>
      </c>
    </row>
    <row r="110" spans="1:28" ht="19" x14ac:dyDescent="0.2">
      <c r="U110" s="73" t="s">
        <v>146</v>
      </c>
      <c r="V110" s="73"/>
      <c r="W110" s="43"/>
      <c r="X110" s="43"/>
      <c r="Y110" s="43"/>
      <c r="Z110" s="43"/>
      <c r="AA110" s="43"/>
      <c r="AB110" s="43"/>
    </row>
    <row r="111" spans="1:28" ht="20" x14ac:dyDescent="0.2">
      <c r="U111" s="64" t="s">
        <v>147</v>
      </c>
      <c r="V111" s="57">
        <f>NPV(AB109,U109,V109,W109,X109,Y109)</f>
        <v>439507435927.07361</v>
      </c>
      <c r="W111" s="43"/>
      <c r="X111" s="43"/>
      <c r="Y111" s="43"/>
      <c r="Z111" s="43"/>
      <c r="AA111" s="43"/>
      <c r="AB111" s="43"/>
    </row>
    <row r="112" spans="1:28" ht="20" x14ac:dyDescent="0.2">
      <c r="U112" s="64" t="s">
        <v>148</v>
      </c>
      <c r="V112" s="57">
        <f>T40</f>
        <v>18522000000</v>
      </c>
      <c r="W112" s="43"/>
      <c r="X112" s="43"/>
      <c r="Y112" s="43"/>
      <c r="Z112" s="43"/>
      <c r="AA112" s="43"/>
      <c r="AB112" s="43"/>
    </row>
    <row r="113" spans="21:28" ht="20" x14ac:dyDescent="0.2">
      <c r="U113" s="64" t="s">
        <v>137</v>
      </c>
      <c r="V113" s="57">
        <f>AB100</f>
        <v>22450000000</v>
      </c>
      <c r="W113" s="43"/>
      <c r="X113" s="43"/>
      <c r="Y113" s="43"/>
      <c r="Z113" s="43"/>
      <c r="AA113" s="43"/>
      <c r="AB113" s="43"/>
    </row>
    <row r="114" spans="21:28" ht="20" x14ac:dyDescent="0.2">
      <c r="U114" s="64" t="s">
        <v>149</v>
      </c>
      <c r="V114" s="57">
        <f>V111+V112-V113</f>
        <v>435579435927.07361</v>
      </c>
      <c r="W114" s="43"/>
      <c r="X114" s="43"/>
      <c r="Y114" s="43"/>
      <c r="Z114" s="43"/>
      <c r="AA114" s="43"/>
      <c r="AB114" s="43"/>
    </row>
    <row r="115" spans="21:28" ht="20" x14ac:dyDescent="0.2">
      <c r="U115" s="64" t="s">
        <v>150</v>
      </c>
      <c r="V115" s="64">
        <f>T34*(1+(5*Z16))</f>
        <v>1992517898.2511404</v>
      </c>
      <c r="W115" s="43"/>
      <c r="X115" s="43"/>
      <c r="Y115" s="43"/>
      <c r="Z115" s="43"/>
      <c r="AA115" s="43"/>
      <c r="AB115" s="43"/>
    </row>
    <row r="116" spans="21:28" ht="20" x14ac:dyDescent="0.2">
      <c r="U116" s="65" t="s">
        <v>151</v>
      </c>
      <c r="V116" s="66">
        <f>V114/V115</f>
        <v>218.607539891806</v>
      </c>
      <c r="W116" s="43"/>
      <c r="X116" s="43"/>
      <c r="Y116" s="43"/>
      <c r="Z116" s="43"/>
      <c r="AA116" s="43"/>
      <c r="AB116" s="43"/>
    </row>
    <row r="117" spans="21:28" ht="20" x14ac:dyDescent="0.2">
      <c r="U117" s="64" t="s">
        <v>152</v>
      </c>
      <c r="V117" s="67" cm="1">
        <f t="array" ref="V117">_FV(A1,"Price")</f>
        <v>233.38</v>
      </c>
      <c r="W117" s="43"/>
      <c r="X117" s="43"/>
      <c r="Y117" s="43"/>
      <c r="Z117" s="43"/>
      <c r="AA117" s="43"/>
      <c r="AB117" s="43"/>
    </row>
    <row r="118" spans="21:28" ht="20" x14ac:dyDescent="0.2">
      <c r="U118" s="65" t="s">
        <v>153</v>
      </c>
      <c r="V118" s="68">
        <f>V116/V117-1</f>
        <v>-6.3297883744082628E-2</v>
      </c>
      <c r="W118" s="43"/>
      <c r="X118" s="43"/>
      <c r="Y118" s="43"/>
      <c r="Z118" s="43"/>
      <c r="AA118" s="43"/>
      <c r="AB118" s="43"/>
    </row>
    <row r="119" spans="21:28" ht="20" x14ac:dyDescent="0.2">
      <c r="U119" s="65" t="s">
        <v>154</v>
      </c>
      <c r="V119" s="69" t="str">
        <f>IF(V116&gt;V117,"BUY","SELL")</f>
        <v>SELL</v>
      </c>
      <c r="W119" s="43"/>
      <c r="X119" s="43"/>
      <c r="Y119" s="43"/>
      <c r="Z119" s="43"/>
      <c r="AA119" s="43"/>
      <c r="AB119" s="43"/>
    </row>
  </sheetData>
  <mergeCells count="7">
    <mergeCell ref="AA84:AB84"/>
    <mergeCell ref="AA85:AB85"/>
    <mergeCell ref="U110:V110"/>
    <mergeCell ref="U104:Y104"/>
    <mergeCell ref="AA105:AB105"/>
    <mergeCell ref="AA99:AB99"/>
    <mergeCell ref="AA94:AB9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 ref="Z107" r:id="rId41" xr:uid="{CB0E0F15-789B-A54F-A854-11458E4C93FE}"/>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2023-01-31T14:52:36Z</dcterms:created>
  <dcterms:modified xsi:type="dcterms:W3CDTF">2023-10-21T05:52:59Z</dcterms:modified>
</cp:coreProperties>
</file>