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F3946DA-FC80-3843-A87C-7C5295CEA86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 l="1"/>
  <c r="U7" i="1"/>
  <c r="T7" i="1"/>
  <c r="S7" i="1"/>
  <c r="N6" i="1"/>
  <c r="T22" i="1"/>
  <c r="N106" i="1" l="1"/>
  <c r="R106" i="1"/>
  <c r="Q106" i="1"/>
  <c r="P106" i="1"/>
  <c r="O106" i="1"/>
  <c r="S106" i="1"/>
  <c r="N109" i="1"/>
  <c r="O109" i="1"/>
  <c r="P109" i="1"/>
  <c r="Q109" i="1"/>
  <c r="R31" i="1"/>
  <c r="R30" i="1"/>
  <c r="Q30" i="1"/>
  <c r="P30" i="1"/>
  <c r="O30" i="1"/>
  <c r="N30" i="1"/>
  <c r="R29" i="1"/>
  <c r="Q29" i="1"/>
  <c r="P29" i="1"/>
  <c r="O29" i="1"/>
  <c r="N29" i="1"/>
  <c r="R21" i="1"/>
  <c r="Q21" i="1"/>
  <c r="P21" i="1"/>
  <c r="O21" i="1"/>
  <c r="N21" i="1"/>
  <c r="R20" i="1"/>
  <c r="Q20" i="1"/>
  <c r="P20" i="1"/>
  <c r="O20" i="1"/>
  <c r="N20" i="1"/>
  <c r="O117" i="1" l="1" a="1"/>
  <c r="O117" i="1" s="1"/>
  <c r="U96" i="1" a="1"/>
  <c r="U96" i="1" s="1"/>
  <c r="U13" i="1"/>
  <c r="U102" i="1" a="1"/>
  <c r="U102" i="1" s="1"/>
  <c r="V22" i="1" s="1"/>
  <c r="S19" i="1"/>
  <c r="O112" i="1"/>
  <c r="U91" i="1"/>
  <c r="U90" i="1"/>
  <c r="U88" i="1"/>
  <c r="U87" i="1"/>
  <c r="U86" i="1"/>
  <c r="V13" i="1"/>
  <c r="T13" i="1"/>
  <c r="S13" i="1"/>
  <c r="T10" i="1"/>
  <c r="R4" i="1"/>
  <c r="Q4" i="1"/>
  <c r="P4" i="1"/>
  <c r="O4" i="1"/>
  <c r="N4" i="1"/>
  <c r="L13" i="1"/>
  <c r="M13" i="1"/>
  <c r="L20" i="1"/>
  <c r="M20" i="1"/>
  <c r="T4" i="1" s="1"/>
  <c r="L9" i="1"/>
  <c r="M9" i="1"/>
  <c r="S10" i="1" s="1"/>
  <c r="L29" i="1"/>
  <c r="M29" i="1"/>
  <c r="U4" i="1" s="1"/>
  <c r="L35" i="1"/>
  <c r="M35" i="1"/>
  <c r="L80" i="1"/>
  <c r="M80" i="1"/>
  <c r="U10" i="1" s="1"/>
  <c r="L89" i="1"/>
  <c r="M89" i="1"/>
  <c r="V10" i="1" s="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S16" i="1" s="1"/>
  <c r="O115" i="1" s="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S4" i="1" l="1"/>
  <c r="U92" i="1"/>
  <c r="C105" i="1" s="1"/>
  <c r="L105" i="1"/>
  <c r="G105" i="1"/>
  <c r="H105" i="1"/>
  <c r="I105" i="1"/>
  <c r="E105" i="1"/>
  <c r="B105" i="1"/>
  <c r="F105" i="1"/>
  <c r="J105" i="1"/>
  <c r="U89" i="1"/>
  <c r="U93" i="1" s="1"/>
  <c r="U100" i="1"/>
  <c r="U104" i="1" s="1"/>
  <c r="U103" i="1" s="1"/>
  <c r="V19" i="1"/>
  <c r="U22" i="1"/>
  <c r="U19" i="1"/>
  <c r="T16" i="1"/>
  <c r="T19" i="1"/>
  <c r="U107" i="1"/>
  <c r="V16" i="1"/>
  <c r="U16" i="1"/>
  <c r="M105" i="1" l="1"/>
  <c r="N105" i="1" s="1"/>
  <c r="O105" i="1" s="1"/>
  <c r="P105" i="1" s="1"/>
  <c r="Q105" i="1" s="1"/>
  <c r="R105" i="1" s="1"/>
  <c r="D105" i="1"/>
  <c r="K105" i="1"/>
  <c r="O113" i="1"/>
  <c r="U101" i="1"/>
  <c r="U95" i="1" l="1"/>
  <c r="U98" i="1" s="1"/>
  <c r="U106" i="1" s="1"/>
  <c r="U109" i="1" s="1"/>
  <c r="R108" i="1" s="1"/>
  <c r="R109" i="1" s="1"/>
  <c r="O111" i="1" s="1"/>
  <c r="O114" i="1" s="1"/>
  <c r="O116" i="1" s="1"/>
  <c r="O118" i="1" l="1"/>
  <c r="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<sst xmlns="http://schemas.openxmlformats.org/spreadsheetml/2006/main" count="409" uniqueCount="169">
  <si>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</si>
  <si>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</si>
  <si>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</si>
  <si>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</si>
  <si>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</si>
  <si>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</si>
  <si>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</si>
  <si>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</si>
  <si>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</si>
  <si>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</si>
  <si>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</si>
  <si>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</si>
  <si>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</si>
  <si>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</si>
  <si>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</si>
  <si>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</si>
  <si>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</si>
  <si>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</si>
  <si>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</si>
  <si>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</si>
  <si>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</si>
  <si>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</si>
  <si>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</si>
  <si>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</si>
  <si>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</si>
  <si>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</si>
  <si>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</si>
  <si>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</si>
  <si>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</si>
  <si>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</si>
  <si>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</si>
  <si>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</si>
  <si>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</si>
  <si>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</si>
  <si>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</si>
  <si>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</si>
  <si>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</si>
  <si>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</si>
  <si>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</si>
  <si>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</si>
  <si>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</si>
  <si>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</si>
  <si>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</si>
  <si>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</si>
  <si>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</si>
  <si>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</si>
  <si>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</si>
  <si>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</si>
  <si>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</si>
  <si>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</si>
  <si>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</si>
  <si>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</si>
  <si>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</si>
  <si>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</si>
  <si>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</si>
  <si>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</si>
  <si>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</si>
  <si>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</si>
  <si>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</si>
  <si>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</si>
  <si>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</si>
  <si>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</si>
  <si>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</si>
  <si>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</si>
  <si>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</si>
  <si>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</si>
  <si>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</si>
  <si>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</si>
  <si>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</si>
  <si>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</si>
  <si>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</si>
  <si>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</si>
  <si>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</si>
  <si>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</si>
  <si>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</si>
  <si>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</si>
  <si>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</si>
  <si>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</si>
  <si>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</si>
  <si>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</si>
  <si>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</si>
  <si>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</si>
  <si>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</si>
  <si>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</si>
  <si>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</si>
  <si>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</si>
  <si>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</si>
  <si>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</si>
  <si>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</si>
  <si>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</si>
  <si>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</si>
  <si>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</si>
  <si>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</si>
  <si>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</si>
  <si>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</si>
  <si>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</si>
  <si>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</si>
  <si>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</si>
  <si>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</si>
  <si>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</si>
  <si>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</si>
  <si>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</si>
  <si>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</si>
  <si>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</si>
  <si>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</si>
  <si>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</si>
  <si>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</si>
  <si>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</si>
  <si>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</si>
  <si>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</si>
  <si>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</si>
  <si>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</si>
  <si>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</si>
  <si>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</si>
  <si>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</si>
  <si>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</si>
  <si>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</si>
  <si>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</si>
  <si>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</si>
  <si>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</si>
  <si>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</si>
  <si>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</si>
  <si>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</si>
  <si>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</si>
  <si>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</si>
  <si>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</si>
  <si>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</si>
  <si>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</si>
  <si>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</si>
  <si>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</si>
  <si>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</si>
  <si>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</si>
  <si>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</si>
  <si>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</si>
  <si>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</si>
  <si>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</si>
  <si>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</si>
  <si>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</si>
  <si>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</si>
  <si>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</si>
  <si>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</si>
  <si>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</si>
  <si>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</si>
  <si>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</si>
  <si>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</si>
  <si>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</si>
  <si>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</si>
  <si>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</si>
  <si>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</si>
  <si>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</si>
  <si>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</si>
  <si>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</si>
  <si>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</si>
  <si>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</si>
  <si>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</si>
  <si>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</si>
  <si>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</si>
  <si>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</si>
  <si>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</si>
  <si>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</si>
  <si>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</si>
  <si>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</si>
  <si>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</si>
  <si>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Proj</t>
  </si>
  <si>
    <t>Unlevered FCF Forecast</t>
  </si>
  <si>
    <t>5Y Fwd FCF CAGR</t>
  </si>
  <si>
    <t>5Y Fwd Income CAGR</t>
  </si>
  <si>
    <t>Gross Margin</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</si>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</sst>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9" fontId="11" fillId="0" borderId="0" xfId="0" applyNumberFormat="1" applyFont="1"/>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169" fontId="11" fillId="0" borderId="8" xfId="0" applyNumberFormat="1" applyFont="1" applyBorder="1" applyAlignment="1">
      <alignment horizontal="center" vertical="center"/>
    </xf>
    <xf numFmtId="9" fontId="11" fillId="0" borderId="11" xfId="0" applyNumberFormat="1" applyFont="1" applyBorder="1" applyAlignment="1">
      <alignment horizontal="center" vertical="center"/>
    </xf>
    <xf numFmtId="169" fontId="11" fillId="0" borderId="11"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9" fontId="1" fillId="0" borderId="0" xfId="0" applyNumberFormat="1" applyFont="1" applyAlignment="1">
      <alignment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4466595310846286"/>
          <c:w val="0.82502155887230522"/>
          <c:h val="0.638551235345389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1'!$B$3:$R$3</c:f>
              <c:numCache>
                <c:formatCode>#,###,,;\(#,###,,\);\ \-\ \-</c:formatCode>
                <c:ptCount val="17"/>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pt idx="12">
                  <c:v>5532000000</c:v>
                </c:pt>
                <c:pt idx="13">
                  <c:v>6148000000</c:v>
                </c:pt>
                <c:pt idx="14">
                  <c:v>6892000000</c:v>
                </c:pt>
                <c:pt idx="15">
                  <c:v>7591000000</c:v>
                </c:pt>
                <c:pt idx="16">
                  <c:v>7816000000</c:v>
                </c:pt>
              </c:numCache>
            </c:numRef>
          </c:val>
          <c:extLst>
            <c:ext xmlns:c16="http://schemas.microsoft.com/office/drawing/2014/chart" uri="{C3380CC4-5D6E-409C-BE32-E72D297353CC}">
              <c16:uniqueId val="{00000000-4E62-E64D-91A2-F4B4F2DBB85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1'!$B$28:$R$28</c:f>
              <c:numCache>
                <c:formatCode>#,###,,;\(#,###,,\);\ \-\ \-</c:formatCode>
                <c:ptCount val="17"/>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pt idx="12">
                  <c:v>1852000000</c:v>
                </c:pt>
                <c:pt idx="13">
                  <c:v>2039000000</c:v>
                </c:pt>
                <c:pt idx="14">
                  <c:v>2273000000</c:v>
                </c:pt>
                <c:pt idx="15">
                  <c:v>2705000000</c:v>
                </c:pt>
                <c:pt idx="16">
                  <c:v>3000000000</c:v>
                </c:pt>
              </c:numCache>
            </c:numRef>
          </c:val>
          <c:extLst>
            <c:ext xmlns:c16="http://schemas.microsoft.com/office/drawing/2014/chart" uri="{C3380CC4-5D6E-409C-BE32-E72D297353CC}">
              <c16:uniqueId val="{00000001-4E62-E64D-91A2-F4B4F2DBB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1'!$B$107:$R$107</c:f>
              <c:numCache>
                <c:formatCode>#,###,,;\(#,###,,\);\ \-\ \-</c:formatCode>
                <c:ptCount val="17"/>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pt idx="12">
                  <c:v>1794000000</c:v>
                </c:pt>
                <c:pt idx="13">
                  <c:v>2139000000</c:v>
                </c:pt>
                <c:pt idx="14">
                  <c:v>2309000000</c:v>
                </c:pt>
                <c:pt idx="15">
                  <c:v>2792000000</c:v>
                </c:pt>
                <c:pt idx="16">
                  <c:v>2875000000</c:v>
                </c:pt>
              </c:numCache>
            </c:numRef>
          </c:val>
          <c:extLst>
            <c:ext xmlns:c16="http://schemas.microsoft.com/office/drawing/2014/chart" uri="{C3380CC4-5D6E-409C-BE32-E72D297353CC}">
              <c16:uniqueId val="{00000002-4E62-E64D-91A2-F4B4F2DBB859}"/>
            </c:ext>
          </c:extLst>
        </c:ser>
        <c:dLbls>
          <c:showLegendKey val="0"/>
          <c:showVal val="0"/>
          <c:showCatName val="0"/>
          <c:showSerName val="0"/>
          <c:showPercent val="0"/>
          <c:showBubbleSize val="0"/>
        </c:dLbls>
        <c:gapWidth val="150"/>
        <c:overlap val="100"/>
        <c:axId val="407282176"/>
        <c:axId val="407284448"/>
      </c:barChart>
      <c:catAx>
        <c:axId val="40728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07284448"/>
        <c:crosses val="autoZero"/>
        <c:auto val="1"/>
        <c:lblAlgn val="ctr"/>
        <c:lblOffset val="100"/>
        <c:noMultiLvlLbl val="0"/>
      </c:catAx>
      <c:valAx>
        <c:axId val="4072844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7282176"/>
        <c:crosses val="autoZero"/>
        <c:crossBetween val="between"/>
      </c:valAx>
      <c:spPr>
        <a:noFill/>
        <a:ln>
          <a:noFill/>
        </a:ln>
        <a:effectLst/>
      </c:spPr>
    </c:plotArea>
    <c:legend>
      <c:legendPos val="b"/>
      <c:layout>
        <c:manualLayout>
          <c:xMode val="edge"/>
          <c:yMode val="edge"/>
          <c:x val="0.34452666770775087"/>
          <c:y val="0.88574696742744852"/>
          <c:w val="0.31627802321617776"/>
          <c:h val="6.08339545306902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31749</xdr:colOff>
      <xdr:row>109</xdr:row>
      <xdr:rowOff>17463</xdr:rowOff>
    </xdr:from>
    <xdr:to>
      <xdr:col>20</xdr:col>
      <xdr:colOff>1587499</xdr:colOff>
      <xdr:row>127</xdr:row>
      <xdr:rowOff>190500</xdr:rowOff>
    </xdr:to>
    <xdr:graphicFrame macro="">
      <xdr:nvGraphicFramePr>
        <xdr:cNvPr id="2" name="Chart 1">
          <a:extLst>
            <a:ext uri="{FF2B5EF4-FFF2-40B4-BE49-F238E27FC236}">
              <a16:creationId xmlns:a16="http://schemas.microsoft.com/office/drawing/2014/main" id="{D7E5C2F5-8DEC-E162-8AD5-EF37FB0DB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198.7</v>
    <v>104.83</v>
    <v>1.1393</v>
    <v>-5.37</v>
    <v>-2.8045E-2</v>
    <v>-0.31</v>
    <v>-1.6659999999999999E-3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192.76499999999999</v>
    <v>Communications &amp; Networking</v>
    <v>Stock</v>
    <v>45219.997198784375</v>
    <v>0</v>
    <v>184.14</v>
    <v>57616045466</v>
    <v>ARISTA NETWORKS, INC.</v>
    <v>ARISTA NETWORKS, INC.</v>
    <v>192.65</v>
    <v>35.351199999999999</v>
    <v>191.48</v>
    <v>186.11</v>
    <v>185.8</v>
    <v>309580600</v>
    <v>ANET</v>
    <v>ARISTA NETWORKS, INC. (XNYS:ANET)</v>
    <v>1587734</v>
    <v>1728194</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J94" activePane="bottomRight" state="frozen"/>
      <selection pane="topRight"/>
      <selection pane="bottomLeft"/>
      <selection pane="bottomRight" activeCell="O100" sqref="O100"/>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5">
        <v>2023</v>
      </c>
      <c r="O1" s="25">
        <v>2024</v>
      </c>
      <c r="P1" s="25">
        <v>2025</v>
      </c>
      <c r="Q1" s="25">
        <v>2026</v>
      </c>
      <c r="R1" s="25">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6">
        <v>5532000000</v>
      </c>
      <c r="O3" s="26">
        <v>6148000000</v>
      </c>
      <c r="P3" s="26">
        <v>6892000000</v>
      </c>
      <c r="Q3" s="26">
        <v>7591000000</v>
      </c>
      <c r="R3" s="26">
        <v>7816000000</v>
      </c>
      <c r="S3" s="18" t="s">
        <v>108</v>
      </c>
      <c r="T3" s="19" t="s">
        <v>109</v>
      </c>
      <c r="U3" s="19" t="s">
        <v>110</v>
      </c>
      <c r="V3" s="19" t="s">
        <v>111</v>
      </c>
    </row>
    <row r="4" spans="1:42" ht="19" x14ac:dyDescent="0.25">
      <c r="A4" s="14" t="s">
        <v>93</v>
      </c>
      <c r="B4" s="1"/>
      <c r="C4" s="38">
        <f>(C3/B3)-1</f>
        <v>0.38298724329271772</v>
      </c>
      <c r="D4" s="38">
        <f>(D3/C3)-1</f>
        <v>0.8676786896095301</v>
      </c>
      <c r="E4" s="38">
        <f>(E3/D3)-1</f>
        <v>0.61701880273735954</v>
      </c>
      <c r="F4" s="38">
        <f t="shared" ref="F4:R4" si="0">(F3/E3)-1</f>
        <v>0.43397088884551782</v>
      </c>
      <c r="G4" s="38">
        <f t="shared" si="0"/>
        <v>0.3481126229866367</v>
      </c>
      <c r="H4" s="38">
        <f t="shared" si="0"/>
        <v>0.4578764699995661</v>
      </c>
      <c r="I4" s="38">
        <f t="shared" si="0"/>
        <v>0.30688087494365757</v>
      </c>
      <c r="J4" s="38">
        <f t="shared" si="0"/>
        <v>0.12054510407094265</v>
      </c>
      <c r="K4" s="38">
        <f t="shared" si="0"/>
        <v>-3.8658384722151884E-2</v>
      </c>
      <c r="L4" s="38">
        <f t="shared" si="0"/>
        <v>0.27206978863539866</v>
      </c>
      <c r="M4" s="38">
        <f t="shared" si="0"/>
        <v>0.48617876912671032</v>
      </c>
      <c r="N4" s="16">
        <f t="shared" si="0"/>
        <v>0.2626360609041587</v>
      </c>
      <c r="O4" s="16">
        <f t="shared" si="0"/>
        <v>0.11135213304410696</v>
      </c>
      <c r="P4" s="16">
        <f t="shared" si="0"/>
        <v>0.12101496421600522</v>
      </c>
      <c r="Q4" s="16">
        <f t="shared" si="0"/>
        <v>0.1014219384793964</v>
      </c>
      <c r="R4" s="16">
        <f t="shared" si="0"/>
        <v>2.9640363588460117E-2</v>
      </c>
      <c r="S4" s="63">
        <f>(M4+L4+K4)/3</f>
        <v>0.23986339101331902</v>
      </c>
      <c r="T4" s="63">
        <f>(M20+L20+K20)/3</f>
        <v>0.25089335709787719</v>
      </c>
      <c r="U4" s="63">
        <f>(M29+L29+K29)/3</f>
        <v>0.22383153679403309</v>
      </c>
      <c r="V4" s="63">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c r="S5" s="42"/>
      <c r="T5" s="42"/>
      <c r="U5" s="42"/>
      <c r="V5" s="42"/>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N6" s="27">
        <f>N3*N7</f>
        <v>3352392000</v>
      </c>
      <c r="S6" s="74" t="s">
        <v>167</v>
      </c>
      <c r="T6" s="75" t="s">
        <v>112</v>
      </c>
      <c r="U6" s="75" t="s">
        <v>113</v>
      </c>
      <c r="V6" s="75" t="s">
        <v>114</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N7" s="2">
        <v>0.60599999999999998</v>
      </c>
      <c r="S7" s="63">
        <f>N7</f>
        <v>0.60599999999999998</v>
      </c>
      <c r="T7" s="64">
        <f>N21</f>
        <v>0.42245119305856832</v>
      </c>
      <c r="U7" s="64">
        <f>N30</f>
        <v>0.33477946493130872</v>
      </c>
      <c r="V7" s="64">
        <f>N107/N3</f>
        <v>0.324295010845987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c r="S8" s="42"/>
      <c r="T8" s="42"/>
      <c r="U8" s="42"/>
      <c r="V8" s="42"/>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63">
        <f>M9</f>
        <v>0.16625027674371365</v>
      </c>
      <c r="T10" s="64">
        <f>M13</f>
        <v>9.5906475460535781E-2</v>
      </c>
      <c r="U10" s="64">
        <f>M80</f>
        <v>5.2708893002321226E-2</v>
      </c>
      <c r="V10" s="64">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c r="S11" s="42"/>
      <c r="T11" s="42"/>
      <c r="U11" s="42"/>
      <c r="V11" s="42"/>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115</v>
      </c>
      <c r="T12" s="19" t="s">
        <v>116</v>
      </c>
      <c r="U12" s="19" t="s">
        <v>117</v>
      </c>
      <c r="V12" s="19" t="s">
        <v>118</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63">
        <f>M28/M72</f>
        <v>0.27681044328280618</v>
      </c>
      <c r="T13" s="64">
        <f>M28/M54</f>
        <v>0.19961094605344917</v>
      </c>
      <c r="U13" s="64">
        <f>M22/(M72+M56+M61)</f>
        <v>0.30977138146417776</v>
      </c>
      <c r="V13" s="65">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S14" s="42"/>
      <c r="T14" s="42"/>
      <c r="U14" s="42"/>
      <c r="V14" s="42"/>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119</v>
      </c>
      <c r="T15" s="19" t="s">
        <v>120</v>
      </c>
      <c r="U15" s="19" t="s">
        <v>121</v>
      </c>
      <c r="V15" s="19" t="s">
        <v>122</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66">
        <f>(M35+L35+K35+J35+I35)/5</f>
        <v>4.3644380616636029E-4</v>
      </c>
      <c r="T16" s="67">
        <f>U102/M3</f>
        <v>13.150415164870781</v>
      </c>
      <c r="U16" s="67">
        <f>U102/M28</f>
        <v>42.601364835268839</v>
      </c>
      <c r="V16" s="68">
        <f>U102/M107</f>
        <v>128.55874785181481</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c r="S17" s="42"/>
      <c r="T17" s="42"/>
      <c r="U17" s="42"/>
      <c r="V17" s="42"/>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123</v>
      </c>
      <c r="T18" s="19" t="s">
        <v>157</v>
      </c>
      <c r="U18" s="19" t="s">
        <v>158</v>
      </c>
      <c r="V18" s="19" t="s">
        <v>159</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27">
        <v>2337000000</v>
      </c>
      <c r="O19" s="27">
        <v>2514000000</v>
      </c>
      <c r="P19" s="27">
        <v>2662000000</v>
      </c>
      <c r="Q19" s="27">
        <v>3359000000</v>
      </c>
      <c r="R19" s="27">
        <v>3700000000</v>
      </c>
      <c r="S19" s="69">
        <f>M40-M56-M61</f>
        <v>2979765000</v>
      </c>
      <c r="T19" s="67">
        <f>U102/N3</f>
        <v>10.415047987346348</v>
      </c>
      <c r="U19" s="67">
        <f>U102/N28</f>
        <v>31.110175737580992</v>
      </c>
      <c r="V19" s="68">
        <f>U102/N107</f>
        <v>32.115967372352287</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70"/>
      <c r="T20" s="42"/>
      <c r="U20" s="42"/>
      <c r="V20" s="42"/>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28">
        <f>N19/N3</f>
        <v>0.42245119305856832</v>
      </c>
      <c r="O21" s="28">
        <f t="shared" ref="O21:R21" si="6">O19/O3</f>
        <v>0.40891346779440468</v>
      </c>
      <c r="P21" s="28">
        <f t="shared" si="6"/>
        <v>0.38624492164828789</v>
      </c>
      <c r="Q21" s="28">
        <f t="shared" si="6"/>
        <v>0.44249769463838756</v>
      </c>
      <c r="R21" s="28">
        <f t="shared" si="6"/>
        <v>0.47338792221084952</v>
      </c>
      <c r="S21" s="42"/>
      <c r="T21" s="73" t="s">
        <v>166</v>
      </c>
      <c r="U21" s="18" t="s">
        <v>160</v>
      </c>
      <c r="V21" s="19" t="s">
        <v>168</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S22" s="42"/>
      <c r="T22" s="17">
        <f>SUM(N29:R29)/5</f>
        <v>0.17684386197874469</v>
      </c>
      <c r="U22" s="71">
        <f>M98/U102</f>
        <v>0</v>
      </c>
      <c r="V22" s="72">
        <f>N107/U102</f>
        <v>3.1137159544534575E-2</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29">
        <v>1852000000</v>
      </c>
      <c r="O28" s="29">
        <v>2039000000</v>
      </c>
      <c r="P28" s="29">
        <v>2273000000</v>
      </c>
      <c r="Q28" s="29">
        <v>2705000000</v>
      </c>
      <c r="R28" s="29">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30">
        <f>N28/N3</f>
        <v>0.33477946493130872</v>
      </c>
      <c r="O30" s="30">
        <f t="shared" ref="O30:R30" si="10">O28/O3</f>
        <v>0.33165256994144438</v>
      </c>
      <c r="P30" s="30">
        <f t="shared" si="10"/>
        <v>0.32980266976204292</v>
      </c>
      <c r="Q30" s="30">
        <f t="shared" si="10"/>
        <v>0.35634303780793042</v>
      </c>
      <c r="R30" s="30">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31">
        <v>6.01</v>
      </c>
      <c r="O31" s="31">
        <v>6.62</v>
      </c>
      <c r="P31" s="31">
        <v>7.37</v>
      </c>
      <c r="Q31" s="31">
        <v>8.77</v>
      </c>
      <c r="R31" s="31">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0">
        <f>(C34-B34)/B34</f>
        <v>0.49633801524440951</v>
      </c>
      <c r="D35" s="20">
        <f t="shared" ref="D35:K35" si="11">(D34-C34)/C34</f>
        <v>-0.33170180145649675</v>
      </c>
      <c r="E35" s="20">
        <f t="shared" si="11"/>
        <v>9.9666446443738895E-3</v>
      </c>
      <c r="F35" s="20">
        <f t="shared" si="11"/>
        <v>0.30813335775783113</v>
      </c>
      <c r="G35" s="20">
        <f t="shared" si="11"/>
        <v>2.5360238618700199E-2</v>
      </c>
      <c r="H35" s="20">
        <f t="shared" si="11"/>
        <v>7.8596596651279674E-2</v>
      </c>
      <c r="I35" s="20">
        <f t="shared" si="11"/>
        <v>2.3639793864036366E-2</v>
      </c>
      <c r="J35" s="20">
        <f t="shared" si="11"/>
        <v>4.3293256147642375E-4</v>
      </c>
      <c r="K35" s="20">
        <f t="shared" si="11"/>
        <v>-1.7482906564126658E-2</v>
      </c>
      <c r="L35" s="20">
        <f t="shared" ref="L35" si="12">(L34-K34)/K34</f>
        <v>0</v>
      </c>
      <c r="M35" s="20">
        <f t="shared" ref="M35" si="13">(M34-L34)/L34</f>
        <v>-4.4076008305543321E-3</v>
      </c>
      <c r="N35" s="20"/>
      <c r="O35" s="20"/>
      <c r="P35" s="20"/>
      <c r="Q35" s="20"/>
      <c r="R35" s="20"/>
      <c r="S35" s="20"/>
      <c r="T35" s="20"/>
      <c r="U35" s="20"/>
      <c r="V35" s="20"/>
      <c r="AH35" s="20"/>
      <c r="AI35" s="20"/>
      <c r="AJ35" s="20"/>
      <c r="AK35" s="20"/>
      <c r="AL35" s="20"/>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19"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row>
    <row r="84" spans="1:46" ht="19" customHeight="1"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N84" s="42"/>
      <c r="O84" s="42"/>
      <c r="P84" s="42"/>
      <c r="Q84" s="42"/>
      <c r="R84" s="42"/>
      <c r="S84" s="42"/>
      <c r="T84" s="77" t="s">
        <v>124</v>
      </c>
      <c r="U84" s="78"/>
    </row>
    <row r="85" spans="1:46" ht="21" customHeight="1"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N85" s="42"/>
      <c r="O85" s="42"/>
      <c r="P85" s="42"/>
      <c r="Q85" s="42"/>
      <c r="R85" s="42"/>
      <c r="S85" s="42"/>
      <c r="T85" s="81" t="s">
        <v>125</v>
      </c>
      <c r="U85" s="81"/>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N86" s="42"/>
      <c r="O86" s="42"/>
      <c r="P86" s="42"/>
      <c r="Q86" s="42"/>
      <c r="R86" s="42"/>
      <c r="S86" s="42"/>
      <c r="T86" s="32" t="s">
        <v>126</v>
      </c>
      <c r="U86" s="43">
        <f>M17</f>
        <v>7215000</v>
      </c>
    </row>
    <row r="87" spans="1:46" ht="19" customHeight="1"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N87" s="42"/>
      <c r="O87" s="42"/>
      <c r="P87" s="42"/>
      <c r="Q87" s="42"/>
      <c r="R87" s="42"/>
      <c r="S87" s="42"/>
      <c r="T87" s="32" t="s">
        <v>127</v>
      </c>
      <c r="U87" s="43">
        <f>M56</f>
        <v>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N88" s="42"/>
      <c r="O88" s="42"/>
      <c r="P88" s="42"/>
      <c r="Q88" s="42"/>
      <c r="R88" s="42"/>
      <c r="S88" s="42"/>
      <c r="T88" s="32" t="s">
        <v>128</v>
      </c>
      <c r="U88" s="43">
        <f>M61</f>
        <v>43964000</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N89" s="42"/>
      <c r="O89" s="42"/>
      <c r="P89" s="42"/>
      <c r="Q89" s="42"/>
      <c r="R89" s="42"/>
      <c r="S89" s="42"/>
      <c r="T89" s="33" t="s">
        <v>129</v>
      </c>
      <c r="U89" s="44">
        <f>U86/(U87+U88)</f>
        <v>0.16411154581020834</v>
      </c>
      <c r="V89" s="15"/>
      <c r="AH89" s="15"/>
      <c r="AI89" s="15"/>
      <c r="AJ89" s="15"/>
      <c r="AK89" s="15"/>
      <c r="AL89" s="15"/>
      <c r="AS89" s="21" t="s">
        <v>105</v>
      </c>
      <c r="AT89" s="22">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N90" s="42"/>
      <c r="O90" s="42"/>
      <c r="P90" s="42"/>
      <c r="Q90" s="42"/>
      <c r="R90" s="42"/>
      <c r="S90" s="42"/>
      <c r="T90" s="32" t="s">
        <v>105</v>
      </c>
      <c r="U90" s="43">
        <f>M27</f>
        <v>229350000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N91" s="42"/>
      <c r="O91" s="42"/>
      <c r="P91" s="42"/>
      <c r="Q91" s="42"/>
      <c r="R91" s="42"/>
      <c r="S91" s="42"/>
      <c r="T91" s="32" t="s">
        <v>19</v>
      </c>
      <c r="U91" s="43">
        <f>M25</f>
        <v>1581796000</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N92" s="42"/>
      <c r="O92" s="42"/>
      <c r="P92" s="42"/>
      <c r="Q92" s="42"/>
      <c r="R92" s="42"/>
      <c r="S92" s="42"/>
      <c r="T92" s="33" t="s">
        <v>130</v>
      </c>
      <c r="U92" s="44">
        <f>U90/U91</f>
        <v>0.14499341255130244</v>
      </c>
    </row>
    <row r="93" spans="1:46" ht="19" customHeight="1"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N93" s="42"/>
      <c r="O93" s="42"/>
      <c r="P93" s="42"/>
      <c r="Q93" s="42"/>
      <c r="R93" s="42"/>
      <c r="S93" s="42"/>
      <c r="T93" s="33" t="s">
        <v>131</v>
      </c>
      <c r="U93" s="44">
        <f>U89*(1-U92)</f>
        <v>0.14031645274411683</v>
      </c>
    </row>
    <row r="94" spans="1:46" ht="19" customHeight="1"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N94" s="42"/>
      <c r="O94" s="42"/>
      <c r="P94" s="42"/>
      <c r="Q94" s="42"/>
      <c r="R94" s="42"/>
      <c r="S94" s="42"/>
      <c r="T94" s="81" t="s">
        <v>132</v>
      </c>
      <c r="U94" s="81"/>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N95" s="42"/>
      <c r="O95" s="42"/>
      <c r="P95" s="42"/>
      <c r="Q95" s="42"/>
      <c r="R95" s="42"/>
      <c r="S95" s="42"/>
      <c r="T95" s="32" t="s">
        <v>133</v>
      </c>
      <c r="U95" s="76">
        <f>'[1]US Treasury Bonds'!$C$8</f>
        <v>4.9880000000000008E-2</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N96" s="42"/>
      <c r="O96" s="42"/>
      <c r="P96" s="42"/>
      <c r="Q96" s="42"/>
      <c r="R96" s="42"/>
      <c r="S96" s="42"/>
      <c r="T96" s="32" t="s">
        <v>134</v>
      </c>
      <c r="U96" s="46" cm="1">
        <f t="array" ref="U96">_FV(A1,"Beta")</f>
        <v>1.1393</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N97" s="42"/>
      <c r="O97" s="42"/>
      <c r="P97" s="42"/>
      <c r="Q97" s="42"/>
      <c r="R97" s="42"/>
      <c r="S97" s="42"/>
      <c r="T97" s="32" t="s">
        <v>135</v>
      </c>
      <c r="U97" s="45">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0</v>
      </c>
      <c r="N98" s="42"/>
      <c r="O98" s="42"/>
      <c r="P98" s="42"/>
      <c r="Q98" s="42"/>
      <c r="R98" s="42"/>
      <c r="S98" s="42"/>
      <c r="T98" s="33" t="s">
        <v>136</v>
      </c>
      <c r="U98" s="44">
        <f>(U95)+((U96)*(U97-U95))</f>
        <v>8.8752916000000001E-2</v>
      </c>
    </row>
    <row r="99" spans="1:46" ht="20" customHeight="1"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N99" s="42"/>
      <c r="O99" s="42"/>
      <c r="P99" s="42"/>
      <c r="Q99" s="42"/>
      <c r="R99" s="42"/>
      <c r="S99" s="42"/>
      <c r="T99" s="81" t="s">
        <v>137</v>
      </c>
      <c r="U99" s="81"/>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N100" s="42"/>
      <c r="O100" s="42"/>
      <c r="P100" s="42"/>
      <c r="Q100" s="42"/>
      <c r="R100" s="42"/>
      <c r="S100" s="42"/>
      <c r="T100" s="32" t="s">
        <v>138</v>
      </c>
      <c r="U100" s="43">
        <f>U87+U88</f>
        <v>43964000</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N101" s="42"/>
      <c r="O101" s="42"/>
      <c r="P101" s="42"/>
      <c r="Q101" s="42"/>
      <c r="R101" s="42"/>
      <c r="S101" s="42"/>
      <c r="T101" s="33" t="s">
        <v>139</v>
      </c>
      <c r="U101" s="44">
        <f>U100/U104</f>
        <v>7.624695244964183E-4</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N102" s="42"/>
      <c r="O102" s="42"/>
      <c r="P102" s="42"/>
      <c r="Q102" s="42"/>
      <c r="R102" s="42"/>
      <c r="S102" s="42"/>
      <c r="T102" s="32" t="s">
        <v>140</v>
      </c>
      <c r="U102" s="47" cm="1">
        <f t="array" ref="U102">_FV(A1,"Market cap",TRUE)</f>
        <v>57616045466</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N103" s="42"/>
      <c r="O103" s="42"/>
      <c r="P103" s="42"/>
      <c r="Q103" s="42"/>
      <c r="R103" s="42"/>
      <c r="S103" s="42"/>
      <c r="T103" s="33" t="s">
        <v>141</v>
      </c>
      <c r="U103" s="44">
        <f>U102/U104</f>
        <v>0.99923753047550357</v>
      </c>
    </row>
    <row r="104" spans="1:46" ht="20" customHeight="1"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N104" s="79" t="s">
        <v>163</v>
      </c>
      <c r="O104" s="79"/>
      <c r="P104" s="79"/>
      <c r="Q104" s="79"/>
      <c r="R104" s="79"/>
      <c r="S104" s="42"/>
      <c r="T104" s="33" t="s">
        <v>142</v>
      </c>
      <c r="U104" s="48">
        <f>U100+U102</f>
        <v>57660009466</v>
      </c>
    </row>
    <row r="105" spans="1:46" ht="21" thickTop="1" x14ac:dyDescent="0.25">
      <c r="A105" s="14" t="s">
        <v>161</v>
      </c>
      <c r="B105" s="1">
        <f t="shared" ref="B105:M105" si="16">(B22*(1-$U$92))+B77+B88+B81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 t="shared" si="16"/>
        <v>414856689.73243093</v>
      </c>
      <c r="N105" s="49">
        <f>M105*(1+$U$107)</f>
        <v>466802178.60997313</v>
      </c>
      <c r="O105" s="49">
        <f>N105*(1+$U$107)</f>
        <v>525251922.7677356</v>
      </c>
      <c r="P105" s="49">
        <f>O105*(1+$U$107)</f>
        <v>591020340.12081397</v>
      </c>
      <c r="Q105" s="49">
        <f>P105*(1+$U$107)</f>
        <v>665023824.36967111</v>
      </c>
      <c r="R105" s="49">
        <f>Q105*(1+$U$107)</f>
        <v>748293513.70353651</v>
      </c>
      <c r="S105" s="41" t="s">
        <v>165</v>
      </c>
      <c r="T105" s="81" t="s">
        <v>143</v>
      </c>
      <c r="U105" s="81"/>
      <c r="V105" s="15"/>
      <c r="AH105" s="15"/>
      <c r="AI105" s="15"/>
      <c r="AJ105" s="15"/>
      <c r="AK105" s="15"/>
      <c r="AL105" s="15"/>
      <c r="AM105" s="15"/>
      <c r="AN105" s="15"/>
      <c r="AO105" s="15"/>
      <c r="AP105" s="15"/>
      <c r="AQ105" s="15"/>
      <c r="AR105" s="15"/>
      <c r="AS105" s="23" t="s">
        <v>107</v>
      </c>
      <c r="AT105" s="24">
        <f>(AT100*AT92)+(AT102*AT97)</f>
        <v>0</v>
      </c>
    </row>
    <row r="106" spans="1:46" ht="20" x14ac:dyDescent="0.25">
      <c r="A106" s="14" t="s">
        <v>106</v>
      </c>
      <c r="B106" s="1"/>
      <c r="C106" s="15">
        <f t="shared" ref="C106:M106" si="17">(C107/B107)-1</f>
        <v>1.3803312629399587</v>
      </c>
      <c r="D106" s="15">
        <f t="shared" si="17"/>
        <v>-0.37670696703487871</v>
      </c>
      <c r="E106" s="15">
        <f t="shared" si="17"/>
        <v>6.0738208205414459</v>
      </c>
      <c r="F106" s="15">
        <f t="shared" si="17"/>
        <v>0.78082894399400282</v>
      </c>
      <c r="G106" s="15">
        <f t="shared" si="17"/>
        <v>-0.39061392236795467</v>
      </c>
      <c r="H106" s="15">
        <f t="shared" si="17"/>
        <v>4.6020941456631004</v>
      </c>
      <c r="I106" s="15">
        <f t="shared" si="17"/>
        <v>-0.22237275045915617</v>
      </c>
      <c r="J106" s="15">
        <f t="shared" si="17"/>
        <v>0.97643384262939481</v>
      </c>
      <c r="K106" s="15">
        <f t="shared" si="17"/>
        <v>-0.24021649285377233</v>
      </c>
      <c r="L106" s="15">
        <f t="shared" si="17"/>
        <v>0.32149556083531317</v>
      </c>
      <c r="M106" s="15">
        <f t="shared" si="17"/>
        <v>-0.52879867945159398</v>
      </c>
      <c r="N106" s="39">
        <f>(N107/M107)-1</f>
        <v>3.00295424270755</v>
      </c>
      <c r="O106" s="39">
        <f>(O107/N107)-1</f>
        <v>0.19230769230769229</v>
      </c>
      <c r="P106" s="39">
        <f t="shared" ref="P106:R106" si="18">(P107/O107)-1</f>
        <v>7.9476390836839661E-2</v>
      </c>
      <c r="Q106" s="39">
        <f t="shared" si="18"/>
        <v>0.20918146383715897</v>
      </c>
      <c r="R106" s="39">
        <f t="shared" si="18"/>
        <v>2.9727793696274984E-2</v>
      </c>
      <c r="S106" s="40">
        <f>SUM(N106:R106)/5</f>
        <v>0.70272951667710326</v>
      </c>
      <c r="T106" s="34" t="s">
        <v>107</v>
      </c>
      <c r="U106" s="50">
        <f>(U101*U93)+(U103*U98)</f>
        <v>8.8792231625342638E-2</v>
      </c>
    </row>
    <row r="107" spans="1:46" ht="19" x14ac:dyDescent="0.25">
      <c r="A107" s="37" t="s">
        <v>162</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51">
        <v>1794000000</v>
      </c>
      <c r="O107" s="51">
        <v>2139000000</v>
      </c>
      <c r="P107" s="51">
        <v>2309000000</v>
      </c>
      <c r="Q107" s="51">
        <v>2792000000</v>
      </c>
      <c r="R107" s="51">
        <v>2875000000</v>
      </c>
      <c r="S107" s="41" t="s">
        <v>164</v>
      </c>
      <c r="T107" s="52" t="s">
        <v>144</v>
      </c>
      <c r="U107" s="35">
        <f>(SUM(N4:R4)/5)</f>
        <v>0.12521309204642547</v>
      </c>
    </row>
    <row r="108" spans="1:46" ht="19" x14ac:dyDescent="0.2">
      <c r="N108" s="41"/>
      <c r="O108" s="41"/>
      <c r="P108" s="41"/>
      <c r="Q108" s="41"/>
      <c r="R108" s="53">
        <f>R107*(1+U108)/(U109-U108)</f>
        <v>46194888075.200974</v>
      </c>
      <c r="S108" s="54" t="s">
        <v>145</v>
      </c>
      <c r="T108" s="55" t="s">
        <v>146</v>
      </c>
      <c r="U108" s="36">
        <v>2.5000000000000001E-2</v>
      </c>
    </row>
    <row r="109" spans="1:46" ht="19" x14ac:dyDescent="0.2">
      <c r="N109" s="53">
        <f>N108+N107</f>
        <v>1794000000</v>
      </c>
      <c r="O109" s="53">
        <f>O108+O107</f>
        <v>2139000000</v>
      </c>
      <c r="P109" s="53">
        <f>P108+P107</f>
        <v>2309000000</v>
      </c>
      <c r="Q109" s="53">
        <f>Q108+Q107</f>
        <v>2792000000</v>
      </c>
      <c r="R109" s="53">
        <f>R108+R107</f>
        <v>49069888075.200974</v>
      </c>
      <c r="S109" s="54" t="s">
        <v>142</v>
      </c>
      <c r="T109" s="56" t="s">
        <v>147</v>
      </c>
      <c r="U109" s="35">
        <f>U106</f>
        <v>8.8792231625342638E-2</v>
      </c>
    </row>
    <row r="110" spans="1:46" ht="19" x14ac:dyDescent="0.2">
      <c r="N110" s="80" t="s">
        <v>148</v>
      </c>
      <c r="O110" s="80"/>
      <c r="P110" s="42"/>
      <c r="Q110" s="42"/>
      <c r="R110" s="42"/>
      <c r="S110" s="42"/>
      <c r="T110" s="42"/>
      <c r="U110" s="42"/>
    </row>
    <row r="111" spans="1:46" ht="20" x14ac:dyDescent="0.2">
      <c r="N111" s="57" t="s">
        <v>149</v>
      </c>
      <c r="O111" s="47">
        <f>NPV(U109,N109,O109,P109,Q109,R109)</f>
        <v>39297011188.186279</v>
      </c>
      <c r="P111" s="42"/>
      <c r="Q111" s="42"/>
      <c r="R111" s="42"/>
      <c r="S111" s="42"/>
      <c r="T111" s="42"/>
      <c r="U111" s="42"/>
    </row>
    <row r="112" spans="1:46" ht="20" x14ac:dyDescent="0.2">
      <c r="N112" s="57" t="s">
        <v>150</v>
      </c>
      <c r="O112" s="47">
        <f>M40</f>
        <v>3023729000</v>
      </c>
      <c r="P112" s="42"/>
      <c r="Q112" s="42"/>
      <c r="R112" s="42"/>
      <c r="S112" s="42"/>
      <c r="T112" s="42"/>
      <c r="U112" s="42"/>
    </row>
    <row r="113" spans="14:21" ht="20" x14ac:dyDescent="0.2">
      <c r="N113" s="57" t="s">
        <v>138</v>
      </c>
      <c r="O113" s="47">
        <f>U100</f>
        <v>43964000</v>
      </c>
      <c r="P113" s="42"/>
      <c r="Q113" s="42"/>
      <c r="R113" s="42"/>
      <c r="S113" s="42"/>
      <c r="T113" s="42"/>
      <c r="U113" s="42"/>
    </row>
    <row r="114" spans="14:21" ht="20" x14ac:dyDescent="0.2">
      <c r="N114" s="57" t="s">
        <v>151</v>
      </c>
      <c r="O114" s="47">
        <f>O111+O112-O113</f>
        <v>42276776188.186279</v>
      </c>
      <c r="P114" s="42"/>
      <c r="Q114" s="42"/>
      <c r="R114" s="42"/>
      <c r="S114" s="42"/>
      <c r="T114" s="42"/>
      <c r="U114" s="42"/>
    </row>
    <row r="115" spans="14:21" ht="20" x14ac:dyDescent="0.2">
      <c r="N115" s="57" t="s">
        <v>156</v>
      </c>
      <c r="O115" s="57">
        <f>M34*(1+(S16*4))</f>
        <v>317011466.28182238</v>
      </c>
      <c r="P115" s="42"/>
      <c r="Q115" s="42"/>
      <c r="R115" s="42"/>
      <c r="S115" s="42"/>
      <c r="T115" s="42"/>
      <c r="U115" s="42"/>
    </row>
    <row r="116" spans="14:21" ht="20" x14ac:dyDescent="0.2">
      <c r="N116" s="58" t="s">
        <v>152</v>
      </c>
      <c r="O116" s="59">
        <f>O114/O115</f>
        <v>133.36040075787773</v>
      </c>
      <c r="P116" s="42"/>
      <c r="Q116" s="42"/>
      <c r="R116" s="42"/>
      <c r="S116" s="42"/>
      <c r="T116" s="42"/>
      <c r="U116" s="42"/>
    </row>
    <row r="117" spans="14:21" ht="20" x14ac:dyDescent="0.2">
      <c r="N117" s="57" t="s">
        <v>153</v>
      </c>
      <c r="O117" s="60" cm="1">
        <f t="array" ref="O117">_FV(A1,"Price")</f>
        <v>186.11</v>
      </c>
      <c r="P117" s="42"/>
      <c r="Q117" s="42"/>
      <c r="R117" s="42"/>
      <c r="S117" s="42"/>
      <c r="T117" s="42"/>
      <c r="U117" s="42"/>
    </row>
    <row r="118" spans="14:21" ht="20" x14ac:dyDescent="0.2">
      <c r="N118" s="58" t="s">
        <v>154</v>
      </c>
      <c r="O118" s="61">
        <f>O116/O117-1</f>
        <v>-0.2834323746285653</v>
      </c>
      <c r="P118" s="42"/>
      <c r="Q118" s="42"/>
      <c r="R118" s="42"/>
      <c r="S118" s="42"/>
      <c r="T118" s="42"/>
      <c r="U118" s="42"/>
    </row>
    <row r="119" spans="14:21" ht="20" x14ac:dyDescent="0.2">
      <c r="N119" s="58" t="s">
        <v>155</v>
      </c>
      <c r="O119" s="62" t="str">
        <f>IF(O116&gt;O117,"BUY","SELL")</f>
        <v>SELL</v>
      </c>
      <c r="P119" s="42"/>
      <c r="Q119" s="42"/>
      <c r="R119" s="42"/>
      <c r="S119" s="42"/>
      <c r="T119" s="42"/>
      <c r="U119" s="42"/>
    </row>
  </sheetData>
  <mergeCells count="7">
    <mergeCell ref="T84:U84"/>
    <mergeCell ref="N104:R104"/>
    <mergeCell ref="N110:O110"/>
    <mergeCell ref="T99:U99"/>
    <mergeCell ref="T94:U94"/>
    <mergeCell ref="T85:U85"/>
    <mergeCell ref="T105:U105"/>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7"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2023-03-13T22:03:17Z</dcterms:created>
  <dcterms:modified xsi:type="dcterms:W3CDTF">2023-10-21T05:09:44Z</dcterms:modified>
</cp:coreProperties>
</file>