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8935A2A-7FDA-0840-BDB9-486C1157077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07" i="1" l="1"/>
  <c r="U107" i="1"/>
  <c r="T107" i="1"/>
  <c r="S107" i="1"/>
  <c r="R107" i="1"/>
  <c r="Z9" i="1"/>
  <c r="W9" i="1"/>
  <c r="R8" i="1"/>
  <c r="R36" i="1" a="1"/>
  <c r="R36" i="1" s="1"/>
  <c r="R37" i="1" s="1"/>
  <c r="W18" i="1" s="1"/>
  <c r="R35" i="1" a="1"/>
  <c r="R35" i="1" s="1"/>
  <c r="V108" i="1"/>
  <c r="U108" i="1"/>
  <c r="T108" i="1"/>
  <c r="S108" i="1"/>
  <c r="R108" i="1"/>
  <c r="V31" i="1"/>
  <c r="R111" i="1"/>
  <c r="S111" i="1"/>
  <c r="T111" i="1"/>
  <c r="U111" i="1"/>
  <c r="B107" i="1"/>
  <c r="C107" i="1"/>
  <c r="G107" i="1"/>
  <c r="H107" i="1"/>
  <c r="I107" i="1"/>
  <c r="J107" i="1"/>
  <c r="K107" i="1"/>
  <c r="O107" i="1"/>
  <c r="P107" i="1"/>
  <c r="Q107" i="1"/>
  <c r="S32" i="1"/>
  <c r="T32" i="1"/>
  <c r="U32" i="1"/>
  <c r="V32" i="1"/>
  <c r="R32" i="1"/>
  <c r="Y9" i="1" s="1"/>
  <c r="R31" i="1"/>
  <c r="S31" i="1"/>
  <c r="T31" i="1"/>
  <c r="U31" i="1"/>
  <c r="S23" i="1"/>
  <c r="T23" i="1"/>
  <c r="U23" i="1"/>
  <c r="V23" i="1"/>
  <c r="R23" i="1"/>
  <c r="X9" i="1" s="1"/>
  <c r="R22" i="1"/>
  <c r="S22" i="1"/>
  <c r="T22" i="1"/>
  <c r="U22" i="1"/>
  <c r="V22" i="1"/>
  <c r="R4" i="1"/>
  <c r="Q4" i="1"/>
  <c r="P4" i="1"/>
  <c r="O4" i="1"/>
  <c r="N4" i="1"/>
  <c r="M4" i="1"/>
  <c r="L4" i="1"/>
  <c r="K4" i="1"/>
  <c r="J4" i="1"/>
  <c r="I4" i="1"/>
  <c r="H4" i="1"/>
  <c r="G4" i="1"/>
  <c r="F4" i="1"/>
  <c r="E4" i="1"/>
  <c r="D4" i="1"/>
  <c r="C4" i="1"/>
  <c r="S119" i="1" a="1"/>
  <c r="S119" i="1" s="1"/>
  <c r="Y103" i="1" a="1"/>
  <c r="Y103" i="1" s="1"/>
  <c r="Z24" i="1" s="1"/>
  <c r="Y97" i="1" a="1"/>
  <c r="Y97" i="1" s="1"/>
  <c r="Y87" i="1"/>
  <c r="Y90" i="1" s="1"/>
  <c r="Y94" i="1" s="1"/>
  <c r="Y88" i="1"/>
  <c r="Y89" i="1"/>
  <c r="Y101" i="1" s="1"/>
  <c r="Y91" i="1"/>
  <c r="Y92" i="1"/>
  <c r="Y93" i="1"/>
  <c r="D107" i="1" s="1"/>
  <c r="W21" i="1"/>
  <c r="Z15" i="1"/>
  <c r="Y15" i="1"/>
  <c r="X15" i="1"/>
  <c r="W15" i="1"/>
  <c r="S114" i="1"/>
  <c r="X24" i="1" l="1"/>
  <c r="S117" i="1"/>
  <c r="M107" i="1"/>
  <c r="E107" i="1"/>
  <c r="N107" i="1"/>
  <c r="F107" i="1"/>
  <c r="L107" i="1"/>
  <c r="Z21" i="1"/>
  <c r="Y21" i="1"/>
  <c r="W108" i="1"/>
  <c r="X21" i="1"/>
  <c r="Y24" i="1"/>
  <c r="Z18" i="1"/>
  <c r="Y18" i="1"/>
  <c r="X18" i="1"/>
  <c r="Y105" i="1"/>
  <c r="Y104" i="1" s="1"/>
  <c r="U6" i="1"/>
  <c r="V6" i="1"/>
  <c r="H37" i="1"/>
  <c r="I37" i="1"/>
  <c r="J37" i="1"/>
  <c r="K37" i="1"/>
  <c r="L37" i="1"/>
  <c r="M37" i="1"/>
  <c r="N37" i="1"/>
  <c r="O37" i="1"/>
  <c r="P37" i="1"/>
  <c r="Q37" i="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2" i="1"/>
  <c r="Y109" i="1"/>
  <c r="S115" i="1" l="1"/>
  <c r="Y96" i="1" l="1"/>
  <c r="Y99" i="1" s="1"/>
  <c r="Y107" i="1" s="1"/>
  <c r="Y111" i="1" s="1"/>
  <c r="V110" i="1" s="1"/>
  <c r="V111" i="1" s="1"/>
  <c r="S113" i="1" s="1"/>
  <c r="S116" i="1" s="1"/>
  <c r="S118" i="1" s="1"/>
  <c r="S121"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<sst xmlns="http://schemas.openxmlformats.org/spreadsheetml/2006/main" count="508" uniqueCount="170">
  <si>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</si>
  <si>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</si>
  <si>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</si>
  <si>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</si>
  <si>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</si>
  <si>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</si>
  <si>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</si>
  <si>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</si>
  <si>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</si>
  <si>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</si>
  <si>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</si>
  <si>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</si>
  <si>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</si>
  <si>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</si>
  <si>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</si>
  <si>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</si>
  <si>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</si>
  <si>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</si>
  <si>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</si>
  <si>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</si>
  <si>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</si>
  <si>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</si>
  <si>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</si>
  <si>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</si>
  <si>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</si>
  <si>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</si>
  <si>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</si>
  <si>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</si>
  <si>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</si>
  <si>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</si>
  <si>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</si>
  <si>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</si>
  <si>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</si>
  <si>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</si>
  <si>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</si>
  <si>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</si>
  <si>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</si>
  <si>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</si>
  <si>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</si>
  <si>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</si>
  <si>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</si>
  <si>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</si>
  <si>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</si>
  <si>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</si>
  <si>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</si>
  <si>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</si>
  <si>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</si>
  <si>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</si>
  <si>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</si>
  <si>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</si>
  <si>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</si>
  <si>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</si>
  <si>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</si>
  <si>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</si>
  <si>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</si>
  <si>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</si>
  <si>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</si>
  <si>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</si>
  <si>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</si>
  <si>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</si>
  <si>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</si>
  <si>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</si>
  <si>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</si>
  <si>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</si>
  <si>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</si>
  <si>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</si>
  <si>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</si>
  <si>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</si>
  <si>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</si>
  <si>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</si>
  <si>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</si>
  <si>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</si>
  <si>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</si>
  <si>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</si>
  <si>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</si>
  <si>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</si>
  <si>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</si>
  <si>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</si>
  <si>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</si>
  <si>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</si>
  <si>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</si>
  <si>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</si>
  <si>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</si>
  <si>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</si>
  <si>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</si>
  <si>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</si>
  <si>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</si>
  <si>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</si>
  <si>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</si>
  <si>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</si>
  <si>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</si>
  <si>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</si>
  <si>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</si>
  <si>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</si>
  <si>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</si>
  <si>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</si>
  <si>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</si>
  <si>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</si>
  <si>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</si>
  <si>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</si>
  <si>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</si>
  <si>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</si>
  <si>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</si>
  <si>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</si>
  <si>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</si>
  <si>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</si>
  <si>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</si>
  <si>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</si>
  <si>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</si>
  <si>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</si>
  <si>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</si>
  <si>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</si>
  <si>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</si>
  <si>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</si>
  <si>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</si>
  <si>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</si>
  <si>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</si>
  <si>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</si>
  <si>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</si>
  <si>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</si>
  <si>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</si>
  <si>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</si>
  <si>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</si>
  <si>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</si>
  <si>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</si>
  <si>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</si>
  <si>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</si>
  <si>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</si>
  <si>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</si>
  <si>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</si>
  <si>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</si>
  <si>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</si>
  <si>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</si>
  <si>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</si>
  <si>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</si>
  <si>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</si>
  <si>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</si>
  <si>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</si>
  <si>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</si>
  <si>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</si>
  <si>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</si>
  <si>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</si>
  <si>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</si>
  <si>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</si>
  <si>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</si>
  <si>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</si>
  <si>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</si>
  <si>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</si>
  <si>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</si>
  <si>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</si>
  <si>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</si>
  <si>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</si>
  <si>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</si>
  <si>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</si>
  <si>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</si>
  <si>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</si>
  <si>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</si>
  <si>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</si>
  <si>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</si>
  <si>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</si>
  <si>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</si>
  <si>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</si>
  <si>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Forecast</t>
  </si>
  <si>
    <t>Unlevered FCF</t>
  </si>
  <si>
    <t>Levered FCF</t>
  </si>
  <si>
    <t>Dividend Yield</t>
  </si>
  <si>
    <t>5Y Fwd FCF CAGR</t>
  </si>
  <si>
    <t>Forward FCF Yield</t>
  </si>
  <si>
    <t>5Y Fwd Income CAGR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</si>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</sst>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8" xfId="0" applyNumberFormat="1" applyFont="1" applyBorder="1" applyAlignment="1">
      <alignment horizontal="center"/>
    </xf>
    <xf numFmtId="0" fontId="14" fillId="0" borderId="0" xfId="0" applyFont="1" applyAlignment="1">
      <alignment indent="1"/>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0" fontId="8" fillId="5" borderId="0" xfId="0" applyFont="1" applyFill="1" applyAlignment="1">
      <alignment horizontal="left" vertical="center" wrapText="1"/>
    </xf>
    <xf numFmtId="0" fontId="8"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2" fontId="14" fillId="0" borderId="7" xfId="0" applyNumberFormat="1" applyFont="1" applyBorder="1" applyAlignment="1">
      <alignment horizontal="center"/>
    </xf>
    <xf numFmtId="164" fontId="9" fillId="0" borderId="3" xfId="0" applyNumberFormat="1" applyFont="1" applyBorder="1" applyAlignment="1">
      <alignment vertical="center"/>
    </xf>
    <xf numFmtId="164" fontId="9" fillId="0" borderId="2" xfId="0" applyNumberFormat="1" applyFont="1" applyBorder="1" applyAlignment="1">
      <alignment vertical="center"/>
    </xf>
    <xf numFmtId="9" fontId="10" fillId="0" borderId="0" xfId="0" applyNumberFormat="1" applyFont="1" applyAlignment="1">
      <alignment vertical="center"/>
    </xf>
    <xf numFmtId="165" fontId="10" fillId="0" borderId="10" xfId="0" applyNumberFormat="1" applyFont="1" applyBorder="1" applyAlignment="1">
      <alignment vertical="center"/>
    </xf>
    <xf numFmtId="165" fontId="10" fillId="0" borderId="0" xfId="0" applyNumberFormat="1" applyFont="1" applyAlignment="1">
      <alignment vertical="center"/>
    </xf>
    <xf numFmtId="166" fontId="10" fillId="0" borderId="0" xfId="0" applyNumberFormat="1" applyFont="1" applyAlignment="1">
      <alignmen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4" fillId="5" borderId="0" xfId="0" applyNumberFormat="1" applyFont="1" applyFill="1" applyAlignment="1">
      <alignment vertical="center"/>
    </xf>
    <xf numFmtId="10" fontId="8" fillId="5" borderId="0" xfId="0" applyNumberFormat="1" applyFont="1" applyFill="1" applyAlignment="1">
      <alignment vertical="center"/>
    </xf>
    <xf numFmtId="10" fontId="14" fillId="5" borderId="0" xfId="0" applyNumberFormat="1" applyFont="1" applyFill="1" applyAlignment="1">
      <alignment vertical="center"/>
    </xf>
    <xf numFmtId="39" fontId="14" fillId="5" borderId="0" xfId="0" applyNumberFormat="1" applyFont="1" applyFill="1" applyAlignment="1">
      <alignment vertical="center"/>
    </xf>
    <xf numFmtId="164" fontId="1" fillId="5" borderId="0" xfId="0" applyNumberFormat="1" applyFont="1" applyFill="1" applyAlignment="1">
      <alignment vertical="center"/>
    </xf>
    <xf numFmtId="164" fontId="8" fillId="5" borderId="0" xfId="0" applyNumberFormat="1" applyFont="1" applyFill="1" applyAlignment="1">
      <alignment vertical="center"/>
    </xf>
    <xf numFmtId="0" fontId="0" fillId="5" borderId="0" xfId="0" applyFill="1" applyAlignment="1">
      <alignment vertical="center"/>
    </xf>
    <xf numFmtId="10" fontId="8"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8" fillId="3" borderId="0" xfId="0" applyNumberFormat="1" applyFont="1" applyFill="1" applyAlignment="1">
      <alignment vertical="center"/>
    </xf>
    <xf numFmtId="167" fontId="1" fillId="5" borderId="0" xfId="0" applyNumberFormat="1" applyFont="1" applyFill="1" applyAlignment="1">
      <alignment vertical="center"/>
    </xf>
    <xf numFmtId="9" fontId="8" fillId="3" borderId="0" xfId="1" applyFont="1" applyFill="1" applyBorder="1" applyAlignment="1">
      <alignment vertical="center"/>
    </xf>
    <xf numFmtId="0" fontId="8" fillId="3" borderId="0" xfId="0" applyFont="1" applyFill="1" applyAlignment="1">
      <alignment horizontal="right" vertical="center"/>
    </xf>
    <xf numFmtId="0" fontId="9" fillId="7" borderId="8" xfId="0" applyFont="1" applyFill="1" applyBorder="1" applyAlignment="1">
      <alignment horizontal="center" vertical="center" wrapText="1"/>
    </xf>
    <xf numFmtId="0" fontId="9" fillId="7" borderId="6" xfId="0" applyFont="1" applyFill="1" applyBorder="1" applyAlignment="1">
      <alignment horizontal="center" vertical="center" wrapText="1"/>
    </xf>
    <xf numFmtId="164" fontId="9" fillId="0" borderId="2" xfId="0" applyNumberFormat="1" applyFont="1" applyBorder="1"/>
    <xf numFmtId="10" fontId="14"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9" fontId="1" fillId="3" borderId="0" xfId="0" applyNumberFormat="1" applyFont="1" applyFill="1" applyAlignment="1">
      <alignment horizontal="center" vertical="center"/>
    </xf>
    <xf numFmtId="0" fontId="13" fillId="3" borderId="0" xfId="0" applyFont="1" applyFill="1" applyAlignment="1">
      <alignment horizontal="center" vertical="center"/>
    </xf>
    <xf numFmtId="0" fontId="12" fillId="3" borderId="0" xfId="0" applyFont="1" applyFill="1" applyAlignment="1">
      <alignment horizontal="center" vertical="center"/>
    </xf>
    <xf numFmtId="0" fontId="8" fillId="4" borderId="0" xfId="0" applyFont="1" applyFill="1" applyAlignment="1">
      <alignment horizontal="center" vertical="center" wrapText="1"/>
    </xf>
    <xf numFmtId="165" fontId="14" fillId="5" borderId="0" xfId="0" applyNumberFormat="1" applyFont="1" applyFill="1" applyAlignment="1">
      <alignment horizontal="center" vertical="center"/>
    </xf>
    <xf numFmtId="10" fontId="14" fillId="0" borderId="9"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E008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Tesla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14617940199334E-2"/>
          <c:y val="0.14971917804124144"/>
          <c:w val="0.83873754152823921"/>
          <c:h val="0.62288450845694399"/>
        </c:manualLayout>
      </c:layout>
      <c:barChart>
        <c:barDir val="col"/>
        <c:grouping val="stack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1'!$B$5:$V$5</c:f>
              <c:numCache>
                <c:formatCode>#,###,,;\(#,###,,\);\ \-\ \-</c:formatCode>
                <c:ptCount val="21"/>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pt idx="16">
                  <c:v>99961000000</c:v>
                </c:pt>
                <c:pt idx="17">
                  <c:v>122000000000</c:v>
                </c:pt>
                <c:pt idx="18">
                  <c:v>148100000000</c:v>
                </c:pt>
                <c:pt idx="19">
                  <c:v>164300000000</c:v>
                </c:pt>
                <c:pt idx="20">
                  <c:v>186800000000</c:v>
                </c:pt>
              </c:numCache>
            </c:numRef>
          </c:val>
          <c:extLst>
            <c:ext xmlns:c16="http://schemas.microsoft.com/office/drawing/2014/chart" uri="{C3380CC4-5D6E-409C-BE32-E72D297353CC}">
              <c16:uniqueId val="{00000000-B1D5-064F-9576-B97920514FDA}"/>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1'!$B$30:$V$30</c:f>
              <c:numCache>
                <c:formatCode>#,###,,;\(#,###,,\);\ \-\ \-</c:formatCode>
                <c:ptCount val="21"/>
                <c:pt idx="0">
                  <c:v>-78157000</c:v>
                </c:pt>
                <c:pt idx="1">
                  <c:v>-82782000</c:v>
                </c:pt>
                <c:pt idx="2">
                  <c:v>-55740000</c:v>
                </c:pt>
                <c:pt idx="3">
                  <c:v>-154328000</c:v>
                </c:pt>
                <c:pt idx="4">
                  <c:v>-254411000</c:v>
                </c:pt>
                <c:pt idx="5">
                  <c:v>-396213000</c:v>
                </c:pt>
                <c:pt idx="6">
                  <c:v>-74014000</c:v>
                </c:pt>
                <c:pt idx="7">
                  <c:v>-294040000</c:v>
                </c:pt>
                <c:pt idx="8">
                  <c:v>-888663000</c:v>
                </c:pt>
                <c:pt idx="9">
                  <c:v>-674914000</c:v>
                </c:pt>
                <c:pt idx="10">
                  <c:v>-1961400000</c:v>
                </c:pt>
                <c:pt idx="11">
                  <c:v>-976091000</c:v>
                </c:pt>
                <c:pt idx="12">
                  <c:v>-862000000</c:v>
                </c:pt>
                <c:pt idx="13">
                  <c:v>690000000</c:v>
                </c:pt>
                <c:pt idx="14">
                  <c:v>5519000000</c:v>
                </c:pt>
                <c:pt idx="15">
                  <c:v>12556000000</c:v>
                </c:pt>
                <c:pt idx="16">
                  <c:v>11156000000</c:v>
                </c:pt>
                <c:pt idx="17">
                  <c:v>14984000000</c:v>
                </c:pt>
                <c:pt idx="18">
                  <c:v>19400000000</c:v>
                </c:pt>
                <c:pt idx="19">
                  <c:v>23894000000</c:v>
                </c:pt>
                <c:pt idx="20">
                  <c:v>25529000000</c:v>
                </c:pt>
              </c:numCache>
            </c:numRef>
          </c:val>
          <c:extLst>
            <c:ext xmlns:c16="http://schemas.microsoft.com/office/drawing/2014/chart" uri="{C3380CC4-5D6E-409C-BE32-E72D297353CC}">
              <c16:uniqueId val="{00000001-B1D5-064F-9576-B97920514FD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1'!$B$109:$V$109</c:f>
              <c:numCache>
                <c:formatCode>#,###,,;\(#,###,,\);\ \-\ \-</c:formatCode>
                <c:ptCount val="21"/>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pt idx="16">
                  <c:v>7879000000</c:v>
                </c:pt>
                <c:pt idx="17">
                  <c:v>12154000000</c:v>
                </c:pt>
                <c:pt idx="18">
                  <c:v>17157000000</c:v>
                </c:pt>
                <c:pt idx="19">
                  <c:v>22282000000</c:v>
                </c:pt>
                <c:pt idx="20">
                  <c:v>30175000000</c:v>
                </c:pt>
              </c:numCache>
            </c:numRef>
          </c:val>
          <c:extLst>
            <c:ext xmlns:c16="http://schemas.microsoft.com/office/drawing/2014/chart" uri="{C3380CC4-5D6E-409C-BE32-E72D297353CC}">
              <c16:uniqueId val="{00000002-B1D5-064F-9576-B97920514FDA}"/>
            </c:ext>
          </c:extLst>
        </c:ser>
        <c:dLbls>
          <c:showLegendKey val="0"/>
          <c:showVal val="0"/>
          <c:showCatName val="0"/>
          <c:showSerName val="0"/>
          <c:showPercent val="0"/>
          <c:showBubbleSize val="0"/>
        </c:dLbls>
        <c:gapWidth val="150"/>
        <c:overlap val="100"/>
        <c:axId val="1715871488"/>
        <c:axId val="1715893088"/>
      </c:barChart>
      <c:catAx>
        <c:axId val="1715871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93088"/>
        <c:crosses val="autoZero"/>
        <c:auto val="1"/>
        <c:lblAlgn val="ctr"/>
        <c:lblOffset val="100"/>
        <c:noMultiLvlLbl val="0"/>
      </c:catAx>
      <c:valAx>
        <c:axId val="1715893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71488"/>
        <c:crosses val="autoZero"/>
        <c:crossBetween val="between"/>
      </c:valAx>
      <c:spPr>
        <a:noFill/>
        <a:ln>
          <a:noFill/>
        </a:ln>
        <a:effectLst/>
      </c:spPr>
    </c:plotArea>
    <c:legend>
      <c:legendPos val="b"/>
      <c:layout>
        <c:manualLayout>
          <c:xMode val="edge"/>
          <c:yMode val="edge"/>
          <c:x val="0.34095527663002517"/>
          <c:y val="0.87974910725090705"/>
          <c:w val="0.31326254515215302"/>
          <c:h val="6.225817444801176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111</xdr:row>
      <xdr:rowOff>9524</xdr:rowOff>
    </xdr:from>
    <xdr:to>
      <xdr:col>25</xdr:col>
      <xdr:colOff>0</xdr:colOff>
      <xdr:row>130</xdr:row>
      <xdr:rowOff>15875</xdr:rowOff>
    </xdr:to>
    <xdr:graphicFrame macro="">
      <xdr:nvGraphicFramePr>
        <xdr:cNvPr id="2" name="Chart 1">
          <a:extLst>
            <a:ext uri="{FF2B5EF4-FFF2-40B4-BE49-F238E27FC236}">
              <a16:creationId xmlns:a16="http://schemas.microsoft.com/office/drawing/2014/main" id="{887B204A-C291-950D-D1AF-35681E35C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2.2572999999999999</v>
    <v>-8.1199999999999992</v>
    <v>-3.6891E-2</v>
    <v>0.76049999999999995</v>
    <v>3.5870000000000003E-3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218.86060000000001</v>
    <v>Automobiles &amp; Auto Parts</v>
    <v>Stock</v>
    <v>45219.999991226563</v>
    <v>0</v>
    <v>210.42</v>
    <v>672854988060</v>
    <v>TESLA, INC.</v>
    <v>TESLA, INC.</v>
    <v>217.01</v>
    <v>70.914199999999994</v>
    <v>220.11</v>
    <v>211.99</v>
    <v>212.75049999999999</v>
    <v>3173994000</v>
    <v>TSLA</v>
    <v>TESLA, INC. (XNAS:TSLA)</v>
    <v>138010095</v>
    <v>116419318</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1"/>
  <sheetViews>
    <sheetView tabSelected="1" zoomScale="80" zoomScaleNormal="80" workbookViewId="0">
      <pane xSplit="1" ySplit="1" topLeftCell="O2" activePane="bottomRight" state="frozen"/>
      <selection pane="topRight"/>
      <selection pane="bottomLeft"/>
      <selection pane="bottomRight" activeCell="S124" sqref="S124"/>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9"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28">
        <v>1798875</v>
      </c>
      <c r="S3" s="20"/>
      <c r="T3" s="1"/>
      <c r="U3" s="1"/>
      <c r="V3" s="1"/>
      <c r="W3" s="1"/>
      <c r="X3" s="1"/>
      <c r="Y3" s="1"/>
      <c r="Z3" s="1"/>
    </row>
    <row r="4" spans="1:26" ht="19" x14ac:dyDescent="0.25">
      <c r="A4" s="19"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0.36916210437865482</v>
      </c>
      <c r="S4" s="18"/>
      <c r="T4" s="18"/>
      <c r="U4" s="18"/>
      <c r="V4" s="18"/>
      <c r="W4" s="31"/>
      <c r="X4" s="31"/>
      <c r="Y4" s="31"/>
      <c r="Z4" s="31"/>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99961000000</v>
      </c>
      <c r="S5" s="17">
        <v>122000000000</v>
      </c>
      <c r="T5" s="17">
        <v>148100000000</v>
      </c>
      <c r="U5" s="17">
        <v>164300000000</v>
      </c>
      <c r="V5" s="17">
        <v>186800000000</v>
      </c>
      <c r="W5" s="29" t="s">
        <v>99</v>
      </c>
      <c r="X5" s="30" t="s">
        <v>97</v>
      </c>
      <c r="Y5" s="30" t="s">
        <v>98</v>
      </c>
      <c r="Z5" s="30"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0.22708747636935023</v>
      </c>
      <c r="S6" s="18">
        <f t="shared" ref="S6" si="15">(S5/R5)-1</f>
        <v>0.22047598563439741</v>
      </c>
      <c r="T6" s="18">
        <f t="shared" ref="T6" si="16">(T5/S5)-1</f>
        <v>0.2139344262295082</v>
      </c>
      <c r="U6" s="18">
        <f>(U5/T5)-1</f>
        <v>0.10938555030384878</v>
      </c>
      <c r="V6" s="18">
        <f t="shared" ref="V6" si="17">(V5/U5)-1</f>
        <v>0.1369446135118686</v>
      </c>
      <c r="W6" s="25">
        <f>(Q6+P6+O6)/3</f>
        <v>0.50111045549806821</v>
      </c>
      <c r="X6" s="25">
        <f>(Q22+P22+O22)/3</f>
        <v>1.0471441765542473</v>
      </c>
      <c r="Y6" s="25">
        <f>(Q31+P31+O31)/3</f>
        <v>2.1577121717940262</v>
      </c>
      <c r="Z6" s="25">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R8" s="75">
        <f>R5*R9</f>
        <v>18182905900</v>
      </c>
      <c r="W8" s="73" t="s">
        <v>101</v>
      </c>
      <c r="X8" s="74" t="s">
        <v>102</v>
      </c>
      <c r="Y8" s="74" t="s">
        <v>103</v>
      </c>
      <c r="Z8" s="74"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R9" s="2">
        <v>0.18190000000000001</v>
      </c>
      <c r="W9" s="25">
        <f>R9</f>
        <v>0.18190000000000001</v>
      </c>
      <c r="X9" s="26">
        <f>R23</f>
        <v>0.16984624003361312</v>
      </c>
      <c r="Y9" s="26">
        <f>R32</f>
        <v>0.11160352537489621</v>
      </c>
      <c r="Z9" s="26">
        <f>R109/R5</f>
        <v>7.8820740088634572E-2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3" t="s">
        <v>112</v>
      </c>
      <c r="X11" s="24" t="s">
        <v>111</v>
      </c>
      <c r="Y11" s="24" t="s">
        <v>109</v>
      </c>
      <c r="Z11" s="24"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5">
        <f>Q11</f>
        <v>3.7747661486337188E-2</v>
      </c>
      <c r="X12" s="26">
        <f>Q15</f>
        <v>4.8439763325231394E-2</v>
      </c>
      <c r="Y12" s="26">
        <f>Q82</f>
        <v>1.9150033144288134E-2</v>
      </c>
      <c r="Z12" s="26">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3" t="s">
        <v>116</v>
      </c>
      <c r="X14" s="24" t="s">
        <v>115</v>
      </c>
      <c r="Y14" s="24" t="s">
        <v>114</v>
      </c>
      <c r="Z14" s="24"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5">
        <f>Q30/Q74</f>
        <v>0.28086972083035078</v>
      </c>
      <c r="X15" s="26">
        <f>Q30/Q56</f>
        <v>0.1524933809419709</v>
      </c>
      <c r="Y15" s="26">
        <f>Q24/(Q74+Q58+Q63)</f>
        <v>0.28567244733594127</v>
      </c>
      <c r="Z15" s="42">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3" t="s">
        <v>139</v>
      </c>
      <c r="X17" s="24" t="s">
        <v>154</v>
      </c>
      <c r="Y17" s="24" t="s">
        <v>155</v>
      </c>
      <c r="Z17" s="24"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SUM(N37:R37)/5</f>
        <v>4.7173823765168356E-2</v>
      </c>
      <c r="X18" s="32">
        <f>Y103/Q5</f>
        <v>8.2597405914414086</v>
      </c>
      <c r="Y18" s="32">
        <f>Y103/Q30</f>
        <v>53.588323356164381</v>
      </c>
      <c r="Z18" s="33">
        <f>Y103/Q109</f>
        <v>88.990211355640781</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3" t="s">
        <v>157</v>
      </c>
      <c r="X20" s="24" t="s">
        <v>159</v>
      </c>
      <c r="Y20" s="24" t="s">
        <v>160</v>
      </c>
      <c r="Z20" s="24"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44">
        <v>16978000000</v>
      </c>
      <c r="S21" s="44">
        <v>21578000000</v>
      </c>
      <c r="T21" s="44">
        <v>27879000000</v>
      </c>
      <c r="U21" s="44">
        <v>36754000000</v>
      </c>
      <c r="V21" s="44">
        <v>42672000000</v>
      </c>
      <c r="W21" s="27">
        <f>Q42-Q58-Q63</f>
        <v>19086000000</v>
      </c>
      <c r="X21" s="32">
        <f>Y103/R5</f>
        <v>6.7311750388651577</v>
      </c>
      <c r="Y21" s="34">
        <f>Y103/R30</f>
        <v>60.313283261025454</v>
      </c>
      <c r="Z21" s="33">
        <f>Y103/R109</f>
        <v>85.398526216524942</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45">
        <f t="shared" ref="R22" si="45">(R21/Q21)-1</f>
        <v>-3.6763871553387006E-2</v>
      </c>
      <c r="S22" s="45">
        <f t="shared" ref="S22" si="46">(S21/R21)-1</f>
        <v>0.27093886205677942</v>
      </c>
      <c r="T22" s="45">
        <f t="shared" ref="T22" si="47">(T21/S21)-1</f>
        <v>0.29201038094355369</v>
      </c>
      <c r="U22" s="45">
        <f t="shared" ref="U22" si="48">(U21/T21)-1</f>
        <v>0.3183399691524087</v>
      </c>
      <c r="V22" s="45">
        <f t="shared" ref="V22" si="49">(V21/U21)-1</f>
        <v>0.16101648800130608</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46">
        <f>R21/R5</f>
        <v>0.16984624003361312</v>
      </c>
      <c r="S23" s="46">
        <f t="shared" ref="S23:V23" si="50">S21/S5</f>
        <v>0.1768688524590164</v>
      </c>
      <c r="T23" s="46">
        <f t="shared" si="50"/>
        <v>0.18824442943956787</v>
      </c>
      <c r="U23" s="46">
        <f t="shared" si="50"/>
        <v>0.22370054777845405</v>
      </c>
      <c r="V23" s="46">
        <f t="shared" si="50"/>
        <v>0.22843683083511776</v>
      </c>
      <c r="X23" s="49" t="s">
        <v>168</v>
      </c>
      <c r="Y23" s="23" t="s">
        <v>165</v>
      </c>
      <c r="Z23" s="24" t="s">
        <v>167</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X24" s="25">
        <f>SUM(R31:V31)/5</f>
        <v>0.16528486571546125</v>
      </c>
      <c r="Y24" s="86">
        <f>Q100/Y103</f>
        <v>0</v>
      </c>
      <c r="Z24" s="36">
        <f>R109/Y103</f>
        <v>1.1709803954514805E-2</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43">
        <v>11156000000</v>
      </c>
      <c r="S30" s="43">
        <v>14984000000</v>
      </c>
      <c r="T30" s="43">
        <v>19400000000</v>
      </c>
      <c r="U30" s="43">
        <v>23894000000</v>
      </c>
      <c r="V30" s="43">
        <v>25529000000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45">
        <f t="shared" ref="R31" si="63">(R30/Q30)-1</f>
        <v>-0.11150047785919082</v>
      </c>
      <c r="S31" s="45">
        <f t="shared" ref="S31" si="64">(S30/R30)-1</f>
        <v>0.34313373969164584</v>
      </c>
      <c r="T31" s="45">
        <f t="shared" ref="T31" si="65">(T30/S30)-1</f>
        <v>0.29471436198611856</v>
      </c>
      <c r="U31" s="45">
        <f t="shared" ref="U31" si="66">(U30/T30)-1</f>
        <v>0.23164948453608258</v>
      </c>
      <c r="V31" s="45">
        <f>V30/U30-1</f>
        <v>6.8427220222650131E-2</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47">
        <f>R30/R5</f>
        <v>0.11160352537489621</v>
      </c>
      <c r="S32" s="47">
        <f t="shared" ref="S32:V32" si="67">S30/S5</f>
        <v>0.12281967213114754</v>
      </c>
      <c r="T32" s="47">
        <f t="shared" si="67"/>
        <v>0.13099257258609048</v>
      </c>
      <c r="U32" s="47">
        <f t="shared" si="67"/>
        <v>0.14542909312233718</v>
      </c>
      <c r="V32" s="47">
        <f t="shared" si="67"/>
        <v>0.13666488222698073</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48">
        <v>3.51</v>
      </c>
      <c r="S33" s="48">
        <v>4.72</v>
      </c>
      <c r="T33" s="48">
        <v>6.11</v>
      </c>
      <c r="U33" s="48">
        <v>7.56</v>
      </c>
      <c r="V33" s="48">
        <v>8.0399999999999991</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0"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c r="R35" s="1" cm="1">
        <f t="array" ref="R35">_FV(A1,"Shares outstanding",TRUE)</f>
        <v>3173994000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1" cm="1">
        <f t="array" ref="R36">_FV(A1,"Shares outstanding",TRUE)</f>
        <v>3173994000</v>
      </c>
    </row>
    <row r="37" spans="1:22" ht="19" x14ac:dyDescent="0.25">
      <c r="A37" s="19" t="s">
        <v>138</v>
      </c>
      <c r="B37" s="1"/>
      <c r="C37" s="22">
        <f>(C36-B36)/B36</f>
        <v>0</v>
      </c>
      <c r="D37" s="22">
        <f t="shared" ref="D37:G37" si="68">(D36-C36)/C36</f>
        <v>-0.4301044964424558</v>
      </c>
      <c r="E37" s="22">
        <f t="shared" si="68"/>
        <v>-0.34720316487324726</v>
      </c>
      <c r="F37" s="22">
        <f t="shared" si="68"/>
        <v>0.97934100790677103</v>
      </c>
      <c r="G37" s="22">
        <f t="shared" si="68"/>
        <v>6.9332275712189653E-2</v>
      </c>
      <c r="H37" s="22">
        <f t="shared" ref="H37" si="69">(H36-G36)/G36</f>
        <v>0.11245563535757203</v>
      </c>
      <c r="I37" s="22">
        <f t="shared" ref="I37" si="70">(I36-H36)/H36</f>
        <v>4.3141491027541216E-2</v>
      </c>
      <c r="J37" s="22">
        <f t="shared" ref="J37" si="71">(J36-I36)/I36</f>
        <v>2.9131513249259472E-2</v>
      </c>
      <c r="K37" s="22">
        <f t="shared" ref="K37" si="72">(K36-J36)/J36</f>
        <v>0.12488104709754919</v>
      </c>
      <c r="L37" s="22">
        <f t="shared" ref="L37" si="73">(L36-K36)/K36</f>
        <v>0.14940504257620726</v>
      </c>
      <c r="M37" s="22">
        <f t="shared" ref="M37" si="74">(M36-L36)/L36</f>
        <v>2.8758792939103994E-2</v>
      </c>
      <c r="N37" s="22">
        <f t="shared" ref="N37" si="75">(N36-M36)/M36</f>
        <v>3.7970971998240725E-2</v>
      </c>
      <c r="O37" s="22">
        <f t="shared" ref="O37" si="76">(O36-N36)/N36</f>
        <v>8.4745762711864403E-2</v>
      </c>
      <c r="P37" s="22">
        <f t="shared" ref="P37" si="77">(P36-O36)/O36</f>
        <v>0.17604166666666668</v>
      </c>
      <c r="Q37" s="22">
        <f t="shared" ref="Q37:R37" si="78">(Q36-P36)/P36</f>
        <v>0</v>
      </c>
      <c r="R37" s="22">
        <f t="shared" si="78"/>
        <v>-6.2889282550930029E-2</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79">D81/D5</f>
        <v>1.2810090849807491E-2</v>
      </c>
      <c r="E82" s="15">
        <f t="shared" si="79"/>
        <v>0.1812170218597958</v>
      </c>
      <c r="F82" s="15">
        <f t="shared" si="79"/>
        <v>0.14403991343602196</v>
      </c>
      <c r="G82" s="15">
        <f t="shared" si="79"/>
        <v>0.12134125094372496</v>
      </c>
      <c r="H82" s="15">
        <f t="shared" si="79"/>
        <v>4.0097919240961989E-2</v>
      </c>
      <c r="I82" s="15">
        <f t="shared" si="79"/>
        <v>4.8930137858324715E-2</v>
      </c>
      <c r="J82" s="15">
        <f t="shared" si="79"/>
        <v>4.8936672413047375E-2</v>
      </c>
      <c r="K82" s="15">
        <f t="shared" si="79"/>
        <v>4.7745528227182005E-2</v>
      </c>
      <c r="L82" s="15">
        <f t="shared" si="79"/>
        <v>3.9694692063808476E-2</v>
      </c>
      <c r="M82" s="15">
        <f t="shared" si="79"/>
        <v>3.4901199686803219E-2</v>
      </c>
      <c r="N82" s="15">
        <f t="shared" si="79"/>
        <v>3.6536740174139472E-2</v>
      </c>
      <c r="O82" s="15">
        <f t="shared" si="79"/>
        <v>5.498477929984779E-2</v>
      </c>
      <c r="P82" s="15">
        <f t="shared" si="79"/>
        <v>3.9406944986344131E-2</v>
      </c>
      <c r="Q82" s="15">
        <f t="shared" si="79"/>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19"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row>
    <row r="85" spans="1:25" ht="19" customHeight="1"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R85" s="50"/>
      <c r="S85" s="50"/>
      <c r="T85" s="50"/>
      <c r="U85" s="50"/>
      <c r="V85" s="50"/>
      <c r="W85" s="50"/>
      <c r="X85" s="82" t="s">
        <v>125</v>
      </c>
      <c r="Y85" s="83"/>
    </row>
    <row r="86" spans="1:25" ht="20" customHeight="1"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R86" s="50"/>
      <c r="S86" s="50"/>
      <c r="T86" s="50"/>
      <c r="U86" s="50"/>
      <c r="V86" s="50"/>
      <c r="W86" s="50"/>
      <c r="X86" s="84" t="s">
        <v>117</v>
      </c>
      <c r="Y86" s="84"/>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R87" s="50"/>
      <c r="S87" s="50"/>
      <c r="T87" s="50"/>
      <c r="U87" s="50"/>
      <c r="V87" s="50"/>
      <c r="W87" s="50"/>
      <c r="X87" s="37" t="s">
        <v>118</v>
      </c>
      <c r="Y87" s="51">
        <f>Q19</f>
        <v>191000000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R88" s="50"/>
      <c r="S88" s="50"/>
      <c r="T88" s="50"/>
      <c r="U88" s="50"/>
      <c r="V88" s="50"/>
      <c r="W88" s="50"/>
      <c r="X88" s="37" t="s">
        <v>119</v>
      </c>
      <c r="Y88" s="51">
        <f>Q58</f>
        <v>1502000000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R89" s="50"/>
      <c r="S89" s="50"/>
      <c r="T89" s="50"/>
      <c r="U89" s="50"/>
      <c r="V89" s="50"/>
      <c r="W89" s="50"/>
      <c r="X89" s="37" t="s">
        <v>120</v>
      </c>
      <c r="Y89" s="51">
        <f>Q63</f>
        <v>1597000000</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R90" s="50"/>
      <c r="S90" s="50"/>
      <c r="T90" s="50"/>
      <c r="U90" s="50"/>
      <c r="V90" s="50"/>
      <c r="W90" s="50"/>
      <c r="X90" s="38" t="s">
        <v>121</v>
      </c>
      <c r="Y90" s="52">
        <f>Y87/(Y88+Y89)</f>
        <v>6.1632784769280413E-2</v>
      </c>
    </row>
    <row r="91" spans="1:25" ht="20" customHeight="1" x14ac:dyDescent="0.25">
      <c r="A91" s="19" t="s">
        <v>108</v>
      </c>
      <c r="B91" s="15">
        <f>(-1*B90)/B5</f>
        <v>134.27397260273972</v>
      </c>
      <c r="C91" s="15">
        <f t="shared" ref="C91:Q91" si="80">(-1*C90)/C5</f>
        <v>0.65323565323565325</v>
      </c>
      <c r="D91" s="15">
        <f t="shared" si="80"/>
        <v>0.10616117131039904</v>
      </c>
      <c r="E91" s="15">
        <f t="shared" si="80"/>
        <v>0.34436887548824779</v>
      </c>
      <c r="F91" s="15">
        <f t="shared" si="80"/>
        <v>0.96892901557955757</v>
      </c>
      <c r="G91" s="15">
        <f t="shared" si="80"/>
        <v>0.57888572700698837</v>
      </c>
      <c r="H91" s="15">
        <f t="shared" si="80"/>
        <v>0.13122648368807288</v>
      </c>
      <c r="I91" s="15">
        <f t="shared" si="80"/>
        <v>0.303244854544022</v>
      </c>
      <c r="J91" s="15">
        <f t="shared" si="80"/>
        <v>0.4040632472612008</v>
      </c>
      <c r="K91" s="15">
        <f t="shared" si="80"/>
        <v>0.2057776910492545</v>
      </c>
      <c r="L91" s="15">
        <f t="shared" si="80"/>
        <v>0.34709077520223025</v>
      </c>
      <c r="M91" s="15">
        <f t="shared" si="80"/>
        <v>0.10807916848156408</v>
      </c>
      <c r="N91" s="15">
        <f t="shared" si="80"/>
        <v>5.8263487671901704E-2</v>
      </c>
      <c r="O91" s="15">
        <f t="shared" si="80"/>
        <v>0.10248604769152714</v>
      </c>
      <c r="P91" s="15">
        <f t="shared" si="80"/>
        <v>0.12102632703491073</v>
      </c>
      <c r="Q91" s="15">
        <f t="shared" si="80"/>
        <v>8.7930568854189678E-2</v>
      </c>
      <c r="R91" s="50"/>
      <c r="S91" s="50"/>
      <c r="T91" s="50"/>
      <c r="U91" s="50"/>
      <c r="V91" s="50"/>
      <c r="W91" s="50"/>
      <c r="X91" s="37" t="s">
        <v>122</v>
      </c>
      <c r="Y91" s="51">
        <f>Q29</f>
        <v>1132000000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R92" s="50"/>
      <c r="S92" s="50"/>
      <c r="T92" s="50"/>
      <c r="U92" s="50"/>
      <c r="V92" s="50"/>
      <c r="W92" s="50"/>
      <c r="X92" s="37" t="s">
        <v>19</v>
      </c>
      <c r="Y92" s="51">
        <f>Q27</f>
        <v>13719000000</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R93" s="50"/>
      <c r="S93" s="50"/>
      <c r="T93" s="50"/>
      <c r="U93" s="50"/>
      <c r="V93" s="50"/>
      <c r="W93" s="50"/>
      <c r="X93" s="38" t="s">
        <v>123</v>
      </c>
      <c r="Y93" s="52">
        <f>Y91/Y92</f>
        <v>8.2513302718857054E-2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R94" s="50"/>
      <c r="S94" s="50"/>
      <c r="T94" s="50"/>
      <c r="U94" s="50"/>
      <c r="V94" s="50"/>
      <c r="W94" s="50"/>
      <c r="X94" s="38" t="s">
        <v>124</v>
      </c>
      <c r="Y94" s="52">
        <f>Y90*(1-Y93)</f>
        <v>5.6547260142206617E-2</v>
      </c>
    </row>
    <row r="95" spans="1:25" ht="20" customHeight="1"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R95" s="50"/>
      <c r="S95" s="50"/>
      <c r="T95" s="50"/>
      <c r="U95" s="50"/>
      <c r="V95" s="50"/>
      <c r="W95" s="50"/>
      <c r="X95" s="84" t="s">
        <v>126</v>
      </c>
      <c r="Y95" s="84"/>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R96" s="50"/>
      <c r="S96" s="50"/>
      <c r="T96" s="50"/>
      <c r="U96" s="50"/>
      <c r="V96" s="50"/>
      <c r="W96" s="50"/>
      <c r="X96" s="37" t="s">
        <v>127</v>
      </c>
      <c r="Y96" s="76">
        <f>'[1]US Treasury Bonds'!$C$8</f>
        <v>4.9880000000000008E-2</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R97" s="50"/>
      <c r="S97" s="50"/>
      <c r="T97" s="50"/>
      <c r="U97" s="50"/>
      <c r="V97" s="50"/>
      <c r="W97" s="50"/>
      <c r="X97" s="37" t="s">
        <v>128</v>
      </c>
      <c r="Y97" s="54" cm="1">
        <f t="array" ref="Y97">_FV(A1,"Beta")</f>
        <v>2.2572999999999999</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R98" s="50"/>
      <c r="S98" s="50"/>
      <c r="T98" s="50"/>
      <c r="U98" s="50"/>
      <c r="V98" s="50"/>
      <c r="W98" s="50"/>
      <c r="X98" s="37" t="s">
        <v>129</v>
      </c>
      <c r="Y98" s="53">
        <v>8.4000000000000005E-2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R99" s="50"/>
      <c r="S99" s="50"/>
      <c r="T99" s="50"/>
      <c r="U99" s="50"/>
      <c r="V99" s="50"/>
      <c r="W99" s="50"/>
      <c r="X99" s="38" t="s">
        <v>130</v>
      </c>
      <c r="Y99" s="52">
        <f>(Y96)+((Y97)*(Y98-Y96))</f>
        <v>0.126899076</v>
      </c>
    </row>
    <row r="100" spans="1:25" ht="20" customHeight="1"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50"/>
      <c r="S100" s="50"/>
      <c r="T100" s="50"/>
      <c r="U100" s="50"/>
      <c r="V100" s="50"/>
      <c r="W100" s="50"/>
      <c r="X100" s="84" t="s">
        <v>137</v>
      </c>
      <c r="Y100" s="84"/>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R101" s="50"/>
      <c r="S101" s="50"/>
      <c r="T101" s="50"/>
      <c r="V101" s="50"/>
      <c r="W101" s="50"/>
      <c r="X101" s="37" t="s">
        <v>131</v>
      </c>
      <c r="Y101" s="51">
        <f>Y88+Y89</f>
        <v>3099000000</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R102" s="50"/>
      <c r="S102" s="50"/>
      <c r="T102" s="50"/>
      <c r="U102" s="50"/>
      <c r="V102" s="50"/>
      <c r="W102" s="50"/>
      <c r="X102" s="38" t="s">
        <v>134</v>
      </c>
      <c r="Y102" s="52">
        <f>Y101/Y105</f>
        <v>4.5846315795756831E-3</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R103" s="50"/>
      <c r="S103" s="50"/>
      <c r="T103" s="50"/>
      <c r="U103" s="50"/>
      <c r="V103" s="50"/>
      <c r="W103" s="50"/>
      <c r="X103" s="37" t="s">
        <v>132</v>
      </c>
      <c r="Y103" s="55" cm="1">
        <f t="array" ref="Y103">+_FV(A1,"Market cap",TRUE)</f>
        <v>672854988060</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R104" s="50"/>
      <c r="S104" s="50"/>
      <c r="T104" s="50"/>
      <c r="U104" s="50"/>
      <c r="V104" s="50"/>
      <c r="W104" s="50"/>
      <c r="X104" s="38" t="s">
        <v>135</v>
      </c>
      <c r="Y104" s="52">
        <f>Y103/Y105</f>
        <v>0.99541536842042433</v>
      </c>
    </row>
    <row r="105" spans="1:25" ht="19" customHeight="1"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R105" s="50"/>
      <c r="S105" s="50"/>
      <c r="T105" s="50"/>
      <c r="U105" s="50"/>
      <c r="V105" s="50"/>
      <c r="W105" s="50"/>
      <c r="X105" s="38" t="s">
        <v>133</v>
      </c>
      <c r="Y105" s="56">
        <f>Y101+Y103</f>
        <v>675953988060</v>
      </c>
    </row>
    <row r="106" spans="1:25" ht="21" customHeight="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R106" s="85" t="s">
        <v>104</v>
      </c>
      <c r="S106" s="85"/>
      <c r="T106" s="85"/>
      <c r="U106" s="85"/>
      <c r="V106" s="85"/>
      <c r="W106" s="50"/>
      <c r="X106" s="84" t="s">
        <v>136</v>
      </c>
      <c r="Y106" s="84"/>
    </row>
    <row r="107" spans="1:25" ht="21" thickTop="1" x14ac:dyDescent="0.25">
      <c r="A107" s="19" t="s">
        <v>163</v>
      </c>
      <c r="B107" s="1">
        <f t="shared" ref="B107:Q107" si="81">(B24*(1-$Y$93))+B79+B90+B83</f>
        <v>-61034464.173773602</v>
      </c>
      <c r="C107" s="1">
        <f t="shared" si="81"/>
        <v>-56970375.683358848</v>
      </c>
      <c r="D107" s="1">
        <f t="shared" si="81"/>
        <v>-90101807.128799468</v>
      </c>
      <c r="E107" s="1">
        <f t="shared" si="81"/>
        <v>-175476911.65536848</v>
      </c>
      <c r="F107" s="1">
        <f t="shared" si="81"/>
        <v>-322816894.52584004</v>
      </c>
      <c r="G107" s="1">
        <f t="shared" si="81"/>
        <v>-529333407.46410084</v>
      </c>
      <c r="H107" s="1">
        <f t="shared" si="81"/>
        <v>-89372337.269480288</v>
      </c>
      <c r="I107" s="1">
        <f t="shared" si="81"/>
        <v>-1166063674.0287194</v>
      </c>
      <c r="J107" s="1">
        <f t="shared" si="81"/>
        <v>-2363046574.3858881</v>
      </c>
      <c r="K107" s="1">
        <f t="shared" si="81"/>
        <v>-1799508572.5635979</v>
      </c>
      <c r="L107" s="1">
        <f t="shared" si="81"/>
        <v>-4439371193.8187914</v>
      </c>
      <c r="M107" s="1">
        <f t="shared" si="81"/>
        <v>-592492336.54056406</v>
      </c>
      <c r="N107" s="1">
        <f t="shared" si="81"/>
        <v>446398935.78249121</v>
      </c>
      <c r="O107" s="1">
        <f t="shared" si="81"/>
        <v>1103468474.3785992</v>
      </c>
      <c r="P107" s="1">
        <f t="shared" si="81"/>
        <v>2874993585.5383034</v>
      </c>
      <c r="Q107" s="1">
        <f t="shared" si="81"/>
        <v>5943198338.0712891</v>
      </c>
      <c r="R107" s="77">
        <f>R109/R5</f>
        <v>7.8820740088634572E-2</v>
      </c>
      <c r="S107" s="77">
        <f>S109/S5</f>
        <v>9.9622950819672138E-2</v>
      </c>
      <c r="T107" s="77">
        <f>T109/T5</f>
        <v>0.11584740040513167</v>
      </c>
      <c r="U107" s="77">
        <f>U109/U5</f>
        <v>0.13561777236762021</v>
      </c>
      <c r="V107" s="77">
        <f>V109/V5</f>
        <v>0.16153640256959315</v>
      </c>
      <c r="W107" s="78" t="s">
        <v>166</v>
      </c>
      <c r="X107" s="39" t="s">
        <v>125</v>
      </c>
      <c r="Y107" s="58">
        <f>(Y102*Y94)+(Y104*Y99)</f>
        <v>0.12657653884333786</v>
      </c>
    </row>
    <row r="108" spans="1:25" ht="19" x14ac:dyDescent="0.25">
      <c r="A108" s="19" t="s">
        <v>96</v>
      </c>
      <c r="B108" s="1"/>
      <c r="C108" s="15">
        <f t="shared" ref="C108:Q108" si="82">(C109/B109)-1</f>
        <v>-1.9424380837982591E-2</v>
      </c>
      <c r="D108" s="15">
        <f t="shared" si="82"/>
        <v>0.49429418780825896</v>
      </c>
      <c r="E108" s="15">
        <f t="shared" si="82"/>
        <v>0.81233752925821667</v>
      </c>
      <c r="F108" s="15">
        <f t="shared" si="82"/>
        <v>0.85846922985358876</v>
      </c>
      <c r="G108" s="15">
        <f t="shared" si="82"/>
        <v>0.61823160187023629</v>
      </c>
      <c r="H108" s="15">
        <f t="shared" si="82"/>
        <v>-0.98767091027470322</v>
      </c>
      <c r="I108" s="15">
        <f t="shared" si="82"/>
        <v>163.88314606741574</v>
      </c>
      <c r="J108" s="15">
        <f t="shared" si="82"/>
        <v>1.1021249544889029</v>
      </c>
      <c r="K108" s="15">
        <f t="shared" si="82"/>
        <v>-0.27556870149290369</v>
      </c>
      <c r="L108" s="15">
        <f t="shared" si="82"/>
        <v>1.6478348142939332</v>
      </c>
      <c r="M108" s="15">
        <f t="shared" si="82"/>
        <v>-0.94647185616251828</v>
      </c>
      <c r="N108" s="15">
        <f t="shared" si="82"/>
        <v>-5.3659850077126388</v>
      </c>
      <c r="O108" s="15">
        <f t="shared" si="82"/>
        <v>1.790289256198347</v>
      </c>
      <c r="P108" s="15">
        <f t="shared" si="82"/>
        <v>0.28952239911144018</v>
      </c>
      <c r="Q108" s="15">
        <f t="shared" si="82"/>
        <v>1.1708297444731555</v>
      </c>
      <c r="R108" s="59">
        <f>(R109/Q109)-1</f>
        <v>4.2057928845390835E-2</v>
      </c>
      <c r="S108" s="59">
        <f>(S109/R109)-1</f>
        <v>0.54258154588145713</v>
      </c>
      <c r="T108" s="59">
        <f>(T109/S109)-1</f>
        <v>0.41163402994898801</v>
      </c>
      <c r="U108" s="59">
        <f>(U109/T109)-1</f>
        <v>0.29871189601911752</v>
      </c>
      <c r="V108" s="59">
        <f>(V109/U109)-1</f>
        <v>0.3542321156090118</v>
      </c>
      <c r="W108" s="60">
        <f>SUM(R108:V108)/5</f>
        <v>0.32984350326079304</v>
      </c>
      <c r="X108" s="81" t="s">
        <v>140</v>
      </c>
      <c r="Y108" s="81"/>
    </row>
    <row r="109" spans="1:25" ht="20" customHeight="1" x14ac:dyDescent="0.25">
      <c r="A109" s="35" t="s">
        <v>164</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61">
        <v>7879000000</v>
      </c>
      <c r="S109" s="61">
        <v>12154000000</v>
      </c>
      <c r="T109" s="61">
        <v>17157000000</v>
      </c>
      <c r="U109" s="61">
        <v>22282000000</v>
      </c>
      <c r="V109" s="61">
        <v>30175000000</v>
      </c>
      <c r="W109" s="57" t="s">
        <v>162</v>
      </c>
      <c r="X109" s="62" t="s">
        <v>141</v>
      </c>
      <c r="Y109" s="40">
        <f>(SUM(R6:V6)/5)</f>
        <v>0.18156561040979463</v>
      </c>
    </row>
    <row r="110" spans="1:25" ht="19" x14ac:dyDescent="0.2">
      <c r="R110" s="79"/>
      <c r="S110" s="79"/>
      <c r="T110" s="79"/>
      <c r="U110" s="79"/>
      <c r="V110" s="63">
        <f>V109*(1+Y110)/(Y111-Y110)</f>
        <v>304493294930.06812</v>
      </c>
      <c r="W110" s="64" t="s">
        <v>142</v>
      </c>
      <c r="X110" s="65" t="s">
        <v>143</v>
      </c>
      <c r="Y110" s="41">
        <v>2.5000000000000001E-2</v>
      </c>
    </row>
    <row r="111" spans="1:25" ht="19" x14ac:dyDescent="0.2">
      <c r="R111" s="63">
        <f t="shared" ref="R111:U111" si="83">R110+R109</f>
        <v>7879000000</v>
      </c>
      <c r="S111" s="63">
        <f t="shared" si="83"/>
        <v>12154000000</v>
      </c>
      <c r="T111" s="63">
        <f t="shared" si="83"/>
        <v>17157000000</v>
      </c>
      <c r="U111" s="63">
        <f t="shared" si="83"/>
        <v>22282000000</v>
      </c>
      <c r="V111" s="63">
        <f>V110+V109</f>
        <v>334668294930.06812</v>
      </c>
      <c r="W111" s="64" t="s">
        <v>133</v>
      </c>
      <c r="X111" s="66" t="s">
        <v>144</v>
      </c>
      <c r="Y111" s="40">
        <f>Y107</f>
        <v>0.12657653884333786</v>
      </c>
    </row>
    <row r="112" spans="1:25" ht="19" x14ac:dyDescent="0.2">
      <c r="R112" s="80" t="s">
        <v>145</v>
      </c>
      <c r="S112" s="80"/>
      <c r="T112" s="50"/>
      <c r="U112" s="50"/>
      <c r="V112" s="50"/>
      <c r="W112" s="50"/>
      <c r="X112" s="50"/>
      <c r="Y112" s="50"/>
    </row>
    <row r="113" spans="18:25" ht="20" x14ac:dyDescent="0.2">
      <c r="R113" s="67" t="s">
        <v>146</v>
      </c>
      <c r="S113" s="55">
        <f>NPV(Y111,R111,S111,T111,U111,V111)</f>
        <v>226823579594.53391</v>
      </c>
      <c r="T113" s="50"/>
      <c r="U113" s="50"/>
      <c r="V113" s="50"/>
      <c r="W113" s="50"/>
      <c r="X113" s="50"/>
      <c r="Y113" s="50"/>
    </row>
    <row r="114" spans="18:25" ht="20" x14ac:dyDescent="0.2">
      <c r="R114" s="67" t="s">
        <v>147</v>
      </c>
      <c r="S114" s="55">
        <f>Q42</f>
        <v>22185000000</v>
      </c>
      <c r="T114" s="50"/>
      <c r="U114" s="50"/>
      <c r="V114" s="50"/>
      <c r="W114" s="50"/>
      <c r="X114" s="50"/>
      <c r="Y114" s="50"/>
    </row>
    <row r="115" spans="18:25" ht="20" x14ac:dyDescent="0.2">
      <c r="R115" s="67" t="s">
        <v>131</v>
      </c>
      <c r="S115" s="55">
        <f>Y101</f>
        <v>3099000000</v>
      </c>
      <c r="T115" s="50"/>
      <c r="U115" s="50"/>
      <c r="V115" s="50"/>
      <c r="W115" s="50"/>
      <c r="X115" s="50"/>
      <c r="Y115" s="50"/>
    </row>
    <row r="116" spans="18:25" ht="20" customHeight="1" x14ac:dyDescent="0.2">
      <c r="R116" s="67" t="s">
        <v>148</v>
      </c>
      <c r="S116" s="55">
        <f>S113+S114-S115</f>
        <v>245909579594.53391</v>
      </c>
      <c r="T116" s="50"/>
      <c r="U116" s="50"/>
      <c r="V116" s="50"/>
      <c r="W116" s="50"/>
      <c r="X116" s="50"/>
      <c r="Y116" s="50"/>
    </row>
    <row r="117" spans="18:25" ht="20" x14ac:dyDescent="0.2">
      <c r="R117" s="67" t="s">
        <v>169</v>
      </c>
      <c r="S117" s="67">
        <f>R36*(1+(5*W18))</f>
        <v>3922641167.9385085</v>
      </c>
      <c r="T117" s="50"/>
      <c r="U117" s="50"/>
      <c r="V117" s="50"/>
      <c r="W117" s="50"/>
      <c r="X117" s="50"/>
      <c r="Y117" s="50"/>
    </row>
    <row r="118" spans="18:25" ht="20" x14ac:dyDescent="0.2">
      <c r="R118" s="68" t="s">
        <v>149</v>
      </c>
      <c r="S118" s="69">
        <f>S116/S117</f>
        <v>62.689797273444817</v>
      </c>
      <c r="T118" s="50"/>
      <c r="U118" s="50"/>
      <c r="V118" s="50"/>
      <c r="W118" s="50"/>
      <c r="X118" s="50"/>
      <c r="Y118" s="50"/>
    </row>
    <row r="119" spans="18:25" ht="20" x14ac:dyDescent="0.2">
      <c r="R119" s="67" t="s">
        <v>150</v>
      </c>
      <c r="S119" s="70" cm="1">
        <f t="array" ref="S119">_FV(A1,"Price",TRUE)</f>
        <v>211.99</v>
      </c>
      <c r="T119" s="50"/>
      <c r="U119" s="50"/>
      <c r="V119" s="50"/>
      <c r="W119" s="50"/>
      <c r="X119" s="50"/>
      <c r="Y119" s="50"/>
    </row>
    <row r="120" spans="18:25" ht="20" x14ac:dyDescent="0.2">
      <c r="R120" s="68" t="s">
        <v>151</v>
      </c>
      <c r="S120" s="71">
        <f>S118/S119-1</f>
        <v>-0.70427946000544916</v>
      </c>
      <c r="T120" s="50"/>
      <c r="U120" s="50"/>
      <c r="V120" s="50"/>
      <c r="W120" s="50"/>
      <c r="X120" s="50"/>
      <c r="Y120" s="50"/>
    </row>
    <row r="121" spans="18:25" ht="20" x14ac:dyDescent="0.2">
      <c r="R121" s="68" t="s">
        <v>152</v>
      </c>
      <c r="S121" s="72" t="str">
        <f>IF(S118&gt;S119,"BUY","SELL")</f>
        <v>SELL</v>
      </c>
      <c r="T121" s="50"/>
      <c r="U121" s="50"/>
      <c r="V121" s="50"/>
      <c r="W121" s="50"/>
      <c r="X121" s="50"/>
      <c r="Y121" s="50"/>
    </row>
  </sheetData>
  <mergeCells count="8">
    <mergeCell ref="R112:S112"/>
    <mergeCell ref="X108:Y108"/>
    <mergeCell ref="X85:Y85"/>
    <mergeCell ref="X86:Y86"/>
    <mergeCell ref="X95:Y95"/>
    <mergeCell ref="X100:Y100"/>
    <mergeCell ref="X106:Y106"/>
    <mergeCell ref="R106:V106"/>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9"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2023-01-31T20:40:31Z</dcterms:created>
  <dcterms:modified xsi:type="dcterms:W3CDTF">2023-10-21T05:22:42Z</dcterms:modified>
</cp:coreProperties>
</file>