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ACE9F4E-D5F5-7649-BCBC-4285E847B4B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3" i="1" l="1"/>
  <c r="T105" i="1"/>
  <c r="U105" i="1"/>
  <c r="V105" i="1"/>
  <c r="W105" i="1"/>
  <c r="S105" i="1"/>
  <c r="S106" i="1" l="1"/>
  <c r="AA7" i="1"/>
  <c r="Z7" i="1"/>
  <c r="Y7" i="1"/>
  <c r="X7" i="1"/>
  <c r="S6" i="1"/>
  <c r="Y22" i="1"/>
  <c r="W106" i="1" l="1"/>
  <c r="V106" i="1"/>
  <c r="U106" i="1"/>
  <c r="T106" i="1"/>
  <c r="Z91" i="1" l="1"/>
  <c r="Z90" i="1"/>
  <c r="Z88" i="1"/>
  <c r="Z87" i="1"/>
  <c r="Z86" i="1"/>
  <c r="X19" i="1"/>
  <c r="X16" i="1"/>
  <c r="Y13" i="1"/>
  <c r="X13" i="1"/>
  <c r="AA10" i="1"/>
  <c r="Z10" i="1"/>
  <c r="Y10" i="1"/>
  <c r="X10" i="1"/>
  <c r="AA4" i="1"/>
  <c r="Z4" i="1"/>
  <c r="Y4" i="1"/>
  <c r="X4" i="1"/>
  <c r="S29" i="1"/>
  <c r="S20" i="1"/>
  <c r="S4" i="1"/>
  <c r="R80" i="1"/>
  <c r="R89" i="1"/>
  <c r="R106" i="1"/>
  <c r="R30" i="1"/>
  <c r="R26" i="1"/>
  <c r="R23" i="1"/>
  <c r="R21" i="1"/>
  <c r="R16" i="1"/>
  <c r="R7" i="1"/>
  <c r="R9" i="1"/>
  <c r="R13" i="1"/>
  <c r="R20" i="1"/>
  <c r="R29" i="1"/>
  <c r="R35" i="1"/>
  <c r="R4" i="1"/>
  <c r="W30" i="1"/>
  <c r="V30" i="1"/>
  <c r="U30" i="1"/>
  <c r="T30" i="1"/>
  <c r="S30" i="1"/>
  <c r="W29" i="1"/>
  <c r="V29" i="1"/>
  <c r="U29" i="1"/>
  <c r="T29" i="1"/>
  <c r="W21" i="1"/>
  <c r="V21" i="1"/>
  <c r="U21" i="1"/>
  <c r="T21" i="1"/>
  <c r="S21" i="1"/>
  <c r="W20" i="1"/>
  <c r="V20" i="1"/>
  <c r="U20" i="1"/>
  <c r="T20" i="1"/>
  <c r="T117" i="1" l="1" a="1"/>
  <c r="T117" i="1" s="1"/>
  <c r="Z102" i="1" a="1"/>
  <c r="Z102" i="1" s="1"/>
  <c r="AA22" i="1" s="1"/>
  <c r="Z96" i="1" a="1"/>
  <c r="Z96" i="1" s="1"/>
  <c r="T112" i="1"/>
  <c r="Z100" i="1"/>
  <c r="T113" i="1" s="1"/>
  <c r="Z92" i="1"/>
  <c r="R105" i="1" s="1"/>
  <c r="X106" i="1" s="1"/>
  <c r="Z89" i="1"/>
  <c r="W4" i="1"/>
  <c r="V4" i="1"/>
  <c r="U4" i="1"/>
  <c r="T4" i="1"/>
  <c r="H106" i="1"/>
  <c r="I106" i="1"/>
  <c r="J106" i="1"/>
  <c r="K106" i="1"/>
  <c r="L106" i="1"/>
  <c r="M106" i="1"/>
  <c r="N106" i="1"/>
  <c r="O106" i="1"/>
  <c r="P106" i="1"/>
  <c r="Q106" i="1"/>
  <c r="G106" i="1"/>
  <c r="F106" i="1"/>
  <c r="E106" i="1"/>
  <c r="D106" i="1"/>
  <c r="C106"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T115" i="1" s="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AA19" i="1" l="1"/>
  <c r="Z19" i="1"/>
  <c r="Y19" i="1"/>
  <c r="AA16" i="1"/>
  <c r="Z16" i="1"/>
  <c r="Y16" i="1"/>
  <c r="Z22" i="1"/>
  <c r="Z107" i="1"/>
  <c r="C105" i="1"/>
  <c r="K105" i="1"/>
  <c r="L105" i="1"/>
  <c r="M105" i="1"/>
  <c r="N105" i="1"/>
  <c r="G105" i="1"/>
  <c r="D105" i="1"/>
  <c r="E105" i="1"/>
  <c r="H105" i="1"/>
  <c r="F105" i="1"/>
  <c r="O105" i="1"/>
  <c r="Q105" i="1"/>
  <c r="B105" i="1"/>
  <c r="P105" i="1"/>
  <c r="I105" i="1"/>
  <c r="J105" i="1"/>
  <c r="Z93" i="1"/>
  <c r="U109" i="1"/>
  <c r="S109" i="1"/>
  <c r="T109" i="1"/>
  <c r="Z104" i="1"/>
  <c r="Z101" i="1" s="1"/>
  <c r="V109" i="1" l="1"/>
  <c r="Z103" i="1"/>
  <c r="Z95" i="1" l="1"/>
  <c r="Z98" i="1" s="1"/>
  <c r="Z106" i="1" s="1"/>
  <c r="Z109" i="1" s="1"/>
  <c r="W108" i="1" s="1"/>
  <c r="W109" i="1" s="1"/>
  <c r="T111" i="1" s="1"/>
  <c r="T114" i="1" s="1"/>
  <c r="T116" i="1" s="1"/>
  <c r="T118" i="1" l="1"/>
  <c r="T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<sst xmlns="http://schemas.openxmlformats.org/spreadsheetml/2006/main" count="464" uniqueCount="169">
  <si>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</si>
  <si>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</si>
  <si>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</si>
  <si>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</si>
  <si>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</si>
  <si>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</si>
  <si>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</si>
  <si>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</si>
  <si>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</si>
  <si>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</si>
  <si>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</si>
  <si>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</si>
  <si>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</si>
  <si>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</si>
  <si>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</si>
  <si>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</si>
  <si>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</si>
  <si>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</si>
  <si>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</si>
  <si>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</si>
  <si>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</si>
  <si>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</si>
  <si>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</si>
  <si>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</si>
  <si>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</si>
  <si>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</si>
  <si>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</si>
  <si>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</si>
  <si>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</si>
  <si>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</si>
  <si>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</si>
  <si>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</si>
  <si>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</si>
  <si>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</si>
  <si>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</si>
  <si>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</si>
  <si>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</si>
  <si>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</si>
  <si>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</si>
  <si>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</si>
  <si>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</si>
  <si>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</si>
  <si>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</si>
  <si>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</si>
  <si>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</si>
  <si>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</si>
  <si>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</si>
  <si>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</si>
  <si>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</si>
  <si>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</si>
  <si>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</si>
  <si>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</si>
  <si>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</si>
  <si>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</si>
  <si>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</si>
  <si>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</si>
  <si>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</si>
  <si>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</si>
  <si>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</si>
  <si>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</si>
  <si>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</si>
  <si>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</si>
  <si>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</si>
  <si>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</si>
  <si>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</si>
  <si>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</si>
  <si>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</si>
  <si>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</si>
  <si>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</si>
  <si>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</si>
  <si>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</si>
  <si>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</si>
  <si>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</si>
  <si>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</si>
  <si>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</si>
  <si>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</si>
  <si>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</si>
  <si>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</si>
  <si>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</si>
  <si>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</si>
  <si>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</si>
  <si>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</si>
  <si>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</si>
  <si>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</si>
  <si>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</si>
  <si>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</si>
  <si>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</si>
  <si>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</si>
  <si>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</si>
  <si>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</si>
  <si>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</si>
  <si>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</si>
  <si>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</si>
  <si>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</si>
  <si>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</si>
  <si>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</si>
  <si>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</si>
  <si>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</si>
  <si>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</si>
  <si>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</si>
  <si>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</si>
  <si>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</si>
  <si>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</si>
  <si>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</si>
  <si>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</si>
  <si>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</si>
  <si>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</si>
  <si>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</si>
  <si>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</si>
  <si>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</si>
  <si>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</si>
  <si>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</si>
  <si>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</si>
  <si>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</si>
  <si>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</si>
  <si>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</si>
  <si>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</si>
  <si>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</si>
  <si>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</si>
  <si>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</si>
  <si>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</si>
  <si>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</si>
  <si>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</si>
  <si>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</si>
  <si>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</si>
  <si>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</si>
  <si>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</si>
  <si>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</si>
  <si>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</si>
  <si>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</si>
  <si>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</si>
  <si>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</si>
  <si>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</si>
  <si>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</si>
  <si>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</si>
  <si>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</si>
  <si>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</si>
  <si>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</si>
  <si>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</si>
  <si>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</si>
  <si>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</si>
  <si>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</si>
  <si>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</si>
  <si>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</si>
  <si>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</si>
  <si>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</si>
  <si>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</si>
  <si>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</si>
  <si>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</si>
  <si>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</si>
  <si>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</si>
  <si>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</si>
  <si>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</si>
  <si>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</si>
  <si>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</si>
  <si>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</si>
  <si>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</si>
  <si>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</si>
  <si>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</si>
  <si>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</si>
  <si>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Dividend Yield</t>
  </si>
  <si>
    <t>Unlevered FCF</t>
  </si>
  <si>
    <t>Levered FCF Growth YoY</t>
  </si>
  <si>
    <t>Levered FCF</t>
  </si>
  <si>
    <t>Unlevered FCF Forecast</t>
  </si>
  <si>
    <t>5Y Fwd FCF CAGR</t>
  </si>
  <si>
    <t>5Y Fwd Income CAGR</t>
  </si>
  <si>
    <t>Forward FCF Yield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</si>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</sst>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37"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 fillId="0" borderId="0" xfId="0" applyFont="1" applyAlignment="1">
      <alignment indent="1"/>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0" fontId="0" fillId="0" borderId="0" xfId="0" applyAlignment="1">
      <alignment vertical="center"/>
    </xf>
    <xf numFmtId="164" fontId="11" fillId="5" borderId="0" xfId="0" applyNumberFormat="1" applyFont="1" applyFill="1" applyAlignment="1">
      <alignment vertical="center"/>
    </xf>
    <xf numFmtId="37"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7" fillId="7" borderId="8" xfId="0" applyFont="1" applyFill="1" applyBorder="1" applyAlignment="1">
      <alignment horizontal="center" vertical="center" wrapText="1"/>
    </xf>
    <xf numFmtId="0" fontId="13" fillId="7"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2" fontId="11" fillId="0" borderId="7" xfId="0" quotePrefix="1" applyNumberFormat="1" applyFont="1" applyBorder="1" applyAlignment="1">
      <alignment horizontal="center"/>
    </xf>
    <xf numFmtId="165" fontId="10" fillId="5" borderId="0" xfId="0" applyNumberFormat="1" applyFont="1" applyFill="1" applyAlignment="1">
      <alignment vertical="center"/>
    </xf>
    <xf numFmtId="0" fontId="0" fillId="5" borderId="0" xfId="0" applyFill="1" applyAlignment="1">
      <alignment horizontal="center"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Fortinet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875533661740558"/>
          <c:y val="0.13106027126602043"/>
          <c:w val="0.82030870279146151"/>
          <c:h val="0.6459546971635955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1'!$B$3:$W$3</c:f>
              <c:numCache>
                <c:formatCode>#,###,,;\(#,###,,\);\ \-\ \-</c:formatCode>
                <c:ptCount val="22"/>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pt idx="16">
                  <c:v>4725000000</c:v>
                </c:pt>
                <c:pt idx="17">
                  <c:v>5400000000</c:v>
                </c:pt>
                <c:pt idx="18">
                  <c:v>6400000000</c:v>
                </c:pt>
                <c:pt idx="19">
                  <c:v>7550000000</c:v>
                </c:pt>
                <c:pt idx="20">
                  <c:v>9060000000</c:v>
                </c:pt>
                <c:pt idx="21">
                  <c:v>10450000000</c:v>
                </c:pt>
              </c:numCache>
            </c:numRef>
          </c:val>
          <c:extLst>
            <c:ext xmlns:c16="http://schemas.microsoft.com/office/drawing/2014/chart" uri="{C3380CC4-5D6E-409C-BE32-E72D297353CC}">
              <c16:uniqueId val="{00000000-075A-8241-B991-7E0B0A3357C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1'!$B$28:$W$28</c:f>
              <c:numCache>
                <c:formatCode>#,###,,;\(#,###,,\);\ \-\ \-</c:formatCode>
                <c:ptCount val="22"/>
                <c:pt idx="0">
                  <c:v>-5344000</c:v>
                </c:pt>
                <c:pt idx="1">
                  <c:v>-21842000</c:v>
                </c:pt>
                <c:pt idx="2">
                  <c:v>7363000</c:v>
                </c:pt>
                <c:pt idx="3">
                  <c:v>60179000</c:v>
                </c:pt>
                <c:pt idx="4">
                  <c:v>41245000</c:v>
                </c:pt>
                <c:pt idx="5">
                  <c:v>62492000</c:v>
                </c:pt>
                <c:pt idx="6">
                  <c:v>66836000</c:v>
                </c:pt>
                <c:pt idx="7">
                  <c:v>44273000</c:v>
                </c:pt>
                <c:pt idx="8">
                  <c:v>25343000</c:v>
                </c:pt>
                <c:pt idx="9">
                  <c:v>7987000</c:v>
                </c:pt>
                <c:pt idx="10">
                  <c:v>32187000</c:v>
                </c:pt>
                <c:pt idx="11">
                  <c:v>31399000</c:v>
                </c:pt>
                <c:pt idx="12">
                  <c:v>332200000</c:v>
                </c:pt>
                <c:pt idx="13">
                  <c:v>326500000</c:v>
                </c:pt>
                <c:pt idx="14">
                  <c:v>488500000</c:v>
                </c:pt>
                <c:pt idx="15">
                  <c:v>606800000</c:v>
                </c:pt>
                <c:pt idx="16">
                  <c:v>857000000</c:v>
                </c:pt>
                <c:pt idx="17">
                  <c:v>1205000000</c:v>
                </c:pt>
                <c:pt idx="18">
                  <c:v>1433000000</c:v>
                </c:pt>
                <c:pt idx="19">
                  <c:v>1748000000</c:v>
                </c:pt>
                <c:pt idx="20">
                  <c:v>2097000000</c:v>
                </c:pt>
                <c:pt idx="21">
                  <c:v>2450000000</c:v>
                </c:pt>
              </c:numCache>
            </c:numRef>
          </c:val>
          <c:extLst>
            <c:ext xmlns:c16="http://schemas.microsoft.com/office/drawing/2014/chart" uri="{C3380CC4-5D6E-409C-BE32-E72D297353CC}">
              <c16:uniqueId val="{00000001-075A-8241-B991-7E0B0A3357C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1'!$B$107:$W$107</c:f>
              <c:numCache>
                <c:formatCode>#,###,,;\(#,###,,\);\ \-\ \-</c:formatCode>
                <c:ptCount val="22"/>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pt idx="16">
                  <c:v>1449000000</c:v>
                </c:pt>
                <c:pt idx="17">
                  <c:v>1334000000</c:v>
                </c:pt>
                <c:pt idx="18">
                  <c:v>1617000000</c:v>
                </c:pt>
                <c:pt idx="19">
                  <c:v>1974000000</c:v>
                </c:pt>
                <c:pt idx="20">
                  <c:v>2456000000</c:v>
                </c:pt>
                <c:pt idx="21">
                  <c:v>2852000000</c:v>
                </c:pt>
              </c:numCache>
            </c:numRef>
          </c:val>
          <c:extLst>
            <c:ext xmlns:c16="http://schemas.microsoft.com/office/drawing/2014/chart" uri="{C3380CC4-5D6E-409C-BE32-E72D297353CC}">
              <c16:uniqueId val="{00000002-075A-8241-B991-7E0B0A3357C8}"/>
            </c:ext>
          </c:extLst>
        </c:ser>
        <c:dLbls>
          <c:showLegendKey val="0"/>
          <c:showVal val="0"/>
          <c:showCatName val="0"/>
          <c:showSerName val="0"/>
          <c:showPercent val="0"/>
          <c:showBubbleSize val="0"/>
        </c:dLbls>
        <c:gapWidth val="150"/>
        <c:overlap val="100"/>
        <c:axId val="33788288"/>
        <c:axId val="33790016"/>
      </c:barChart>
      <c:catAx>
        <c:axId val="33788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90016"/>
        <c:crosses val="autoZero"/>
        <c:auto val="1"/>
        <c:lblAlgn val="ctr"/>
        <c:lblOffset val="100"/>
        <c:noMultiLvlLbl val="0"/>
      </c:catAx>
      <c:valAx>
        <c:axId val="337900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88288"/>
        <c:crosses val="autoZero"/>
        <c:crossBetween val="between"/>
      </c:valAx>
      <c:spPr>
        <a:noFill/>
        <a:ln>
          <a:noFill/>
        </a:ln>
        <a:effectLst/>
      </c:spPr>
    </c:plotArea>
    <c:legend>
      <c:legendPos val="b"/>
      <c:layout>
        <c:manualLayout>
          <c:xMode val="edge"/>
          <c:yMode val="edge"/>
          <c:x val="0.34545388722961357"/>
          <c:y val="0.88169223371274452"/>
          <c:w val="0.31171937990509807"/>
          <c:h val="5.44991853310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31749</xdr:colOff>
      <xdr:row>109</xdr:row>
      <xdr:rowOff>17462</xdr:rowOff>
    </xdr:from>
    <xdr:to>
      <xdr:col>26</xdr:col>
      <xdr:colOff>31749</xdr:colOff>
      <xdr:row>129</xdr:row>
      <xdr:rowOff>206374</xdr:rowOff>
    </xdr:to>
    <xdr:graphicFrame macro="">
      <xdr:nvGraphicFramePr>
        <xdr:cNvPr id="3" name="Chart 2">
          <a:extLst>
            <a:ext uri="{FF2B5EF4-FFF2-40B4-BE49-F238E27FC236}">
              <a16:creationId xmlns:a16="http://schemas.microsoft.com/office/drawing/2014/main" id="{41E6D2B3-951F-1E23-5004-9845057A10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81.239999999999995</v>
    <v>42.610100000000003</v>
    <v>1.1366000000000001</v>
    <v>-1.41</v>
    <v>-2.4407000000000002E-2</v>
    <v>-0.02</v>
    <v>-3.5490000000000001E-4</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57.94</v>
    <v>Software &amp; IT Services</v>
    <v>Stock</v>
    <v>45219.998633471878</v>
    <v>0</v>
    <v>55.92</v>
    <v>44261587684</v>
    <v>FORTINET, INC.</v>
    <v>FORTINET, INC.</v>
    <v>57.91</v>
    <v>43.334800000000001</v>
    <v>57.77</v>
    <v>56.36</v>
    <v>56.34</v>
    <v>785336900</v>
    <v>FTNT</v>
    <v>FORTINET, INC. (XNAS:FTNT)</v>
    <v>6500862</v>
    <v>5549180</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38"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37"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262039/000126203922000008/0001262039-22-00000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finbox.com/NASDAQGS:FTNT/explorer/fcf_unlev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O90" activePane="bottomRight" state="frozen"/>
      <selection pane="topRight"/>
      <selection pane="bottomLeft"/>
      <selection pane="bottomRight" activeCell="U34" sqref="U34"/>
    </sheetView>
  </sheetViews>
  <sheetFormatPr baseColWidth="10" defaultRowHeight="16" x14ac:dyDescent="0.2"/>
  <cols>
    <col min="1" max="1" width="50" customWidth="1"/>
    <col min="2" max="18" width="15" customWidth="1"/>
    <col min="19" max="23" width="21.1640625" customWidth="1"/>
    <col min="24" max="27" width="21" customWidth="1"/>
  </cols>
  <sheetData>
    <row r="1" spans="1:39"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8">
        <v>2022</v>
      </c>
      <c r="S1" s="20">
        <v>2023</v>
      </c>
      <c r="T1" s="20">
        <v>2024</v>
      </c>
      <c r="U1" s="20">
        <v>2025</v>
      </c>
      <c r="V1" s="20">
        <v>2026</v>
      </c>
      <c r="W1" s="20">
        <v>2027</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t="s">
        <v>90</v>
      </c>
      <c r="T2" s="9" t="s">
        <v>90</v>
      </c>
      <c r="U2" s="9" t="s">
        <v>90</v>
      </c>
      <c r="V2" s="9"/>
      <c r="W2" s="9"/>
    </row>
    <row r="3" spans="1:39"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1">
        <v>4725000000</v>
      </c>
      <c r="S3" s="21">
        <v>5400000000</v>
      </c>
      <c r="T3" s="21">
        <v>6400000000</v>
      </c>
      <c r="U3" s="21">
        <v>7550000000</v>
      </c>
      <c r="V3" s="21">
        <v>9060000000</v>
      </c>
      <c r="W3" s="21">
        <v>10450000000</v>
      </c>
      <c r="X3" s="23" t="s">
        <v>108</v>
      </c>
      <c r="Y3" s="24" t="s">
        <v>109</v>
      </c>
      <c r="Z3" s="24" t="s">
        <v>110</v>
      </c>
      <c r="AA3" s="24" t="s">
        <v>111</v>
      </c>
    </row>
    <row r="4" spans="1:39" ht="19" x14ac:dyDescent="0.25">
      <c r="A4" s="14" t="s">
        <v>93</v>
      </c>
      <c r="B4" s="1"/>
      <c r="C4" s="43">
        <f>(C3/B3)-1</f>
        <v>0.25837072554387452</v>
      </c>
      <c r="D4" s="43">
        <f>(D3/C3)-1</f>
        <v>0.36317469716669026</v>
      </c>
      <c r="E4" s="43">
        <f>(E3/D3)-1</f>
        <v>0.19039524814557751</v>
      </c>
      <c r="F4" s="43">
        <f t="shared" ref="F4:L4" si="0">(F3/E3)-1</f>
        <v>0.28788846359796127</v>
      </c>
      <c r="G4" s="43">
        <f t="shared" si="0"/>
        <v>0.33532904624633497</v>
      </c>
      <c r="H4" s="43">
        <f t="shared" si="0"/>
        <v>0.23078537557429368</v>
      </c>
      <c r="I4" s="43">
        <f t="shared" si="0"/>
        <v>0.15302104981082709</v>
      </c>
      <c r="J4" s="43">
        <f t="shared" si="0"/>
        <v>0.25201975631280504</v>
      </c>
      <c r="K4" s="43">
        <f t="shared" si="0"/>
        <v>0.31011833367083619</v>
      </c>
      <c r="L4" s="43">
        <f t="shared" si="0"/>
        <v>0.26373074346952441</v>
      </c>
      <c r="M4" s="43">
        <f t="shared" ref="M4" si="1">(M3/L3)-1</f>
        <v>0.17208687491326535</v>
      </c>
      <c r="N4" s="43">
        <f t="shared" ref="N4" si="2">(N3/M3)-1</f>
        <v>0.2048724689450343</v>
      </c>
      <c r="O4" s="43">
        <f t="shared" ref="O4" si="3">(O3/N3)-1</f>
        <v>0.19709082833666436</v>
      </c>
      <c r="P4" s="43">
        <f t="shared" ref="P4" si="4">(P3/O3)-1</f>
        <v>0.20322790093683341</v>
      </c>
      <c r="Q4" s="43">
        <f t="shared" ref="Q4:W4" si="5">(Q3/P3)-1</f>
        <v>0.28823620104841186</v>
      </c>
      <c r="R4" s="43">
        <f t="shared" si="5"/>
        <v>0.41373945305487414</v>
      </c>
      <c r="S4" s="16">
        <f>(S3/R3)-1</f>
        <v>0.14285714285714279</v>
      </c>
      <c r="T4" s="16">
        <f t="shared" si="5"/>
        <v>0.18518518518518512</v>
      </c>
      <c r="U4" s="16">
        <f t="shared" si="5"/>
        <v>0.1796875</v>
      </c>
      <c r="V4" s="16">
        <f t="shared" si="5"/>
        <v>0.19999999999999996</v>
      </c>
      <c r="W4" s="16">
        <f t="shared" si="5"/>
        <v>0.15342163355408389</v>
      </c>
      <c r="X4" s="25">
        <f>SUM(P4:R4)/3</f>
        <v>0.30173451834670645</v>
      </c>
      <c r="Y4" s="25">
        <f>SUM(P20:R20)/3</f>
        <v>0.31019128975899329</v>
      </c>
      <c r="Z4" s="25">
        <f>SUM(P29:R29)/3</f>
        <v>0.38355612835611685</v>
      </c>
      <c r="AA4" s="25">
        <f>SUM(P106:R106)/3</f>
        <v>0.26620339074407745</v>
      </c>
      <c r="AB4" s="16"/>
      <c r="AC4" s="16"/>
      <c r="AD4" s="16"/>
      <c r="AE4" s="16"/>
      <c r="AF4" s="16"/>
      <c r="AG4" s="16"/>
      <c r="AJ4" s="17"/>
      <c r="AK4" s="17"/>
      <c r="AL4" s="17"/>
      <c r="AM4" s="17"/>
    </row>
    <row r="5" spans="1:39"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c r="R5" s="1">
        <v>1139000000</v>
      </c>
    </row>
    <row r="6" spans="1:39"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R6" s="10">
        <v>3333000000</v>
      </c>
      <c r="S6" s="38">
        <f>S3*S7</f>
        <v>4164480000</v>
      </c>
      <c r="X6" s="69" t="s">
        <v>112</v>
      </c>
      <c r="Y6" s="70" t="s">
        <v>113</v>
      </c>
      <c r="Z6" s="70" t="s">
        <v>114</v>
      </c>
      <c r="AA6" s="70" t="s">
        <v>115</v>
      </c>
    </row>
    <row r="7" spans="1:39"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R7" s="2">
        <f>R6/R3</f>
        <v>0.70539682539682536</v>
      </c>
      <c r="S7" s="2">
        <v>0.7712</v>
      </c>
      <c r="X7" s="25">
        <f>S7</f>
        <v>0.7712</v>
      </c>
      <c r="Y7" s="26">
        <f>S21</f>
        <v>0.28370370370370368</v>
      </c>
      <c r="Z7" s="26">
        <f>S30</f>
        <v>0.22314814814814815</v>
      </c>
      <c r="AA7" s="26">
        <f>S107/S3</f>
        <v>0.24703703703703703</v>
      </c>
    </row>
    <row r="8" spans="1:39"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c r="R8" s="1">
        <v>512000000</v>
      </c>
    </row>
    <row r="9" spans="1:39" ht="19" customHeight="1" x14ac:dyDescent="0.25">
      <c r="A9" s="14" t="s">
        <v>94</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R9" s="15">
        <f t="shared" ref="R9" si="7">R8/R3</f>
        <v>0.10835978835978836</v>
      </c>
      <c r="X9" s="23" t="s">
        <v>95</v>
      </c>
      <c r="Y9" s="24" t="s">
        <v>96</v>
      </c>
      <c r="Z9" s="24" t="s">
        <v>97</v>
      </c>
      <c r="AA9" s="24" t="s">
        <v>98</v>
      </c>
    </row>
    <row r="10" spans="1:39"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R10" s="1">
        <v>144000000</v>
      </c>
      <c r="X10" s="25">
        <f>R9</f>
        <v>0.10835978835978836</v>
      </c>
      <c r="Y10" s="26">
        <f>R13</f>
        <v>0.3925925925925926</v>
      </c>
      <c r="Z10" s="26">
        <f>R80</f>
        <v>4.5925925925925926E-2</v>
      </c>
      <c r="AA10" s="26">
        <f>R89</f>
        <v>5.9470899470899473E-2</v>
      </c>
    </row>
    <row r="11" spans="1:39"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c r="R11" s="1">
        <v>1855000000</v>
      </c>
    </row>
    <row r="12" spans="1:39"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R12" s="1">
        <v>1855000000</v>
      </c>
      <c r="X12" s="23" t="s">
        <v>116</v>
      </c>
      <c r="Y12" s="24" t="s">
        <v>117</v>
      </c>
      <c r="Z12" s="24" t="s">
        <v>118</v>
      </c>
      <c r="AA12" s="24" t="s">
        <v>119</v>
      </c>
    </row>
    <row r="13" spans="1:39" ht="19" x14ac:dyDescent="0.25">
      <c r="A13" s="14" t="s">
        <v>99</v>
      </c>
      <c r="B13" s="15">
        <f>B12/B3</f>
        <v>0.54308878557659601</v>
      </c>
      <c r="C13" s="15">
        <f t="shared" ref="C13:Q13" si="8">C12/C3</f>
        <v>0.59667494818686195</v>
      </c>
      <c r="D13" s="15">
        <f t="shared" si="8"/>
        <v>0.49273576308719447</v>
      </c>
      <c r="E13" s="15">
        <f t="shared" si="8"/>
        <v>0.4545981000733792</v>
      </c>
      <c r="F13" s="15">
        <f t="shared" si="8"/>
        <v>0.41376549141350677</v>
      </c>
      <c r="G13" s="15">
        <f t="shared" si="8"/>
        <v>0.38631520194844732</v>
      </c>
      <c r="H13" s="15">
        <f t="shared" si="8"/>
        <v>0.38352893997627607</v>
      </c>
      <c r="I13" s="15">
        <f t="shared" si="8"/>
        <v>0.4224041397894025</v>
      </c>
      <c r="J13" s="15">
        <f t="shared" si="8"/>
        <v>0.4636133048792519</v>
      </c>
      <c r="K13" s="15">
        <f t="shared" si="8"/>
        <v>0.53690892805478818</v>
      </c>
      <c r="L13" s="15">
        <f t="shared" si="8"/>
        <v>0.55477273386580195</v>
      </c>
      <c r="M13" s="15">
        <f t="shared" si="8"/>
        <v>0.52770898971858216</v>
      </c>
      <c r="N13" s="15">
        <f t="shared" si="8"/>
        <v>0.48595380857206305</v>
      </c>
      <c r="O13" s="15">
        <f t="shared" si="8"/>
        <v>0.47722845747147757</v>
      </c>
      <c r="P13" s="15">
        <f t="shared" si="8"/>
        <v>0.45921985815602839</v>
      </c>
      <c r="Q13" s="15">
        <f t="shared" si="8"/>
        <v>0.44557477110885046</v>
      </c>
      <c r="R13" s="15">
        <f t="shared" ref="R13" si="9">R12/R3</f>
        <v>0.3925925925925926</v>
      </c>
      <c r="X13" s="25">
        <f>R28/R72</f>
        <v>-3.0390070921985815</v>
      </c>
      <c r="Y13" s="26">
        <f>R28/R54</f>
        <v>0.13760436737315351</v>
      </c>
      <c r="Z13" s="26">
        <f>R22/(Q72+R56+R61)</f>
        <v>0.54467460631032338</v>
      </c>
      <c r="AA13" s="71" t="s">
        <v>168</v>
      </c>
    </row>
    <row r="14" spans="1:39"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row>
    <row r="15" spans="1:39"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R15" s="1">
        <v>2368000000</v>
      </c>
      <c r="X15" s="23" t="s">
        <v>120</v>
      </c>
      <c r="Y15" s="24" t="s">
        <v>153</v>
      </c>
      <c r="Z15" s="24" t="s">
        <v>154</v>
      </c>
      <c r="AA15" s="24" t="s">
        <v>155</v>
      </c>
    </row>
    <row r="16" spans="1:39"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R16" s="1">
        <f>R15+R5</f>
        <v>3507000000</v>
      </c>
      <c r="X16" s="18">
        <f>SUM(N35:R35)/5</f>
        <v>-2.3148733624502274E-2</v>
      </c>
      <c r="Y16" s="28">
        <f>Z102/R3</f>
        <v>9.3675317849735453</v>
      </c>
      <c r="Z16" s="28">
        <f>Z102/R28</f>
        <v>51.647126819136524</v>
      </c>
      <c r="AA16" s="29">
        <f>Z102/R107</f>
        <v>30.546299298826778</v>
      </c>
    </row>
    <row r="17" spans="1:27"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c r="R17" s="1">
        <v>18000000</v>
      </c>
    </row>
    <row r="18" spans="1:27"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R18" s="1">
        <v>104000000</v>
      </c>
      <c r="X18" s="23" t="s">
        <v>156</v>
      </c>
      <c r="Y18" s="24" t="s">
        <v>157</v>
      </c>
      <c r="Z18" s="24" t="s">
        <v>158</v>
      </c>
      <c r="AA18" s="24" t="s">
        <v>159</v>
      </c>
    </row>
    <row r="19" spans="1:27"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R19" s="10">
        <v>1069000000</v>
      </c>
      <c r="S19" s="38">
        <v>1532000000</v>
      </c>
      <c r="T19" s="38">
        <v>1863000000</v>
      </c>
      <c r="U19" s="38">
        <v>2241000000</v>
      </c>
      <c r="V19" s="38">
        <v>2616000000</v>
      </c>
      <c r="W19" s="38">
        <v>3186000000</v>
      </c>
      <c r="X19" s="27">
        <f>R40-R56-R61</f>
        <v>1221000000</v>
      </c>
      <c r="Y19" s="28">
        <f>Z102/S3</f>
        <v>8.1965903118518515</v>
      </c>
      <c r="Z19" s="28">
        <f>Z102/S28</f>
        <v>36.731608036514523</v>
      </c>
      <c r="AA19" s="29">
        <f>Z102/S107</f>
        <v>33.179600962518741</v>
      </c>
    </row>
    <row r="20" spans="1:27" ht="19" customHeight="1" x14ac:dyDescent="0.25">
      <c r="A20" s="14" t="s">
        <v>100</v>
      </c>
      <c r="B20" s="1"/>
      <c r="C20" s="15">
        <f>(C19/B19)-1</f>
        <v>-8.0420215786484945</v>
      </c>
      <c r="D20" s="15">
        <f>(D19/C19)-1</f>
        <v>-2.2982017579227483</v>
      </c>
      <c r="E20" s="15">
        <f>(E19/D19)-1</f>
        <v>1.2006956953848067</v>
      </c>
      <c r="F20" s="15">
        <f t="shared" ref="F20:G20" si="10">(F19/E19)-1</f>
        <v>0.80225239210815991</v>
      </c>
      <c r="G20" s="15">
        <f t="shared" si="10"/>
        <v>0.60660590114640112</v>
      </c>
      <c r="H20" s="15">
        <f t="shared" ref="H20" si="11">(H19/G19)-1</f>
        <v>0.18502705073841197</v>
      </c>
      <c r="I20" s="15">
        <f t="shared" ref="I20" si="12">(I19/H19)-1</f>
        <v>-0.20314890676669461</v>
      </c>
      <c r="J20" s="15">
        <f t="shared" ref="J20" si="13">(J19/I19)-1</f>
        <v>-8.1552596263032906E-2</v>
      </c>
      <c r="K20" s="15">
        <f t="shared" ref="K20" si="14">(K19/J19)-1</f>
        <v>-0.39430144992694172</v>
      </c>
      <c r="L20" s="15">
        <f t="shared" ref="L20" si="15">(L19/K19)-1</f>
        <v>0.83657147098665785</v>
      </c>
      <c r="M20" s="15">
        <f t="shared" ref="M20" si="16">(M19/L19)-1</f>
        <v>0.94958119044972777</v>
      </c>
      <c r="N20" s="15">
        <f t="shared" ref="N20" si="17">(N19/M19)-1</f>
        <v>0.72633608358555501</v>
      </c>
      <c r="O20" s="15">
        <f t="shared" ref="O20" si="18">(O19/N19)-1</f>
        <v>0.4509156409486641</v>
      </c>
      <c r="P20" s="15">
        <f t="shared" ref="P20" si="19">(P19/O19)-1</f>
        <v>0.29981378026070771</v>
      </c>
      <c r="Q20" s="15">
        <f t="shared" ref="Q20:W20" si="20">(Q19/P19)-1</f>
        <v>0.14645017510347014</v>
      </c>
      <c r="R20" s="15">
        <f t="shared" si="20"/>
        <v>0.48430991391280198</v>
      </c>
      <c r="S20" s="16">
        <f>(S19/R19)-1</f>
        <v>0.43311506080449025</v>
      </c>
      <c r="T20" s="16">
        <f t="shared" si="20"/>
        <v>0.21605744125326365</v>
      </c>
      <c r="U20" s="16">
        <f t="shared" si="20"/>
        <v>0.20289855072463769</v>
      </c>
      <c r="V20" s="16">
        <f t="shared" si="20"/>
        <v>0.16733601070950477</v>
      </c>
      <c r="W20" s="16">
        <f t="shared" si="20"/>
        <v>0.21788990825688082</v>
      </c>
    </row>
    <row r="21" spans="1:27"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c r="R21" s="2">
        <f>R19/R3</f>
        <v>0.22624338624338625</v>
      </c>
      <c r="S21" s="39">
        <f>S19/S3</f>
        <v>0.28370370370370368</v>
      </c>
      <c r="T21" s="39">
        <f t="shared" ref="T21:W21" si="21">T19/T3</f>
        <v>0.29109374999999998</v>
      </c>
      <c r="U21" s="39">
        <f t="shared" si="21"/>
        <v>0.29682119205298013</v>
      </c>
      <c r="V21" s="39">
        <f t="shared" si="21"/>
        <v>0.28874172185430463</v>
      </c>
      <c r="W21" s="39">
        <f t="shared" si="21"/>
        <v>0.30488038277511964</v>
      </c>
      <c r="Y21" s="68" t="s">
        <v>166</v>
      </c>
      <c r="Z21" s="23" t="s">
        <v>160</v>
      </c>
      <c r="AA21" s="24" t="s">
        <v>167</v>
      </c>
    </row>
    <row r="22" spans="1:27"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c r="R22" s="10">
        <v>965000000</v>
      </c>
      <c r="Y22" s="25">
        <f>SUM(S29:W29)/5</f>
        <v>0.23661806538479885</v>
      </c>
      <c r="Z22" s="30">
        <f>(-1*R98)/Z102</f>
        <v>0</v>
      </c>
      <c r="AA22" s="31">
        <f>S107/Z102</f>
        <v>3.0139000198635531E-2</v>
      </c>
    </row>
    <row r="23" spans="1:27"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c r="R23" s="2">
        <f>R22/R3</f>
        <v>0.20423280423280424</v>
      </c>
    </row>
    <row r="24" spans="1:27"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c r="R24" s="1">
        <v>-9000000</v>
      </c>
    </row>
    <row r="25" spans="1:27"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c r="R25" s="10">
        <v>956000000</v>
      </c>
    </row>
    <row r="26" spans="1:27"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c r="R26" s="2">
        <f>R25/R3</f>
        <v>0.20232804232804233</v>
      </c>
    </row>
    <row r="27" spans="1:27"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c r="R27" s="1">
        <v>31000000</v>
      </c>
    </row>
    <row r="28" spans="1:27"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c r="R28" s="11">
        <v>857000000</v>
      </c>
      <c r="S28" s="40">
        <v>1205000000</v>
      </c>
      <c r="T28" s="40">
        <v>1433000000</v>
      </c>
      <c r="U28" s="40">
        <v>1748000000</v>
      </c>
      <c r="V28" s="40">
        <v>2097000000</v>
      </c>
      <c r="W28" s="40">
        <v>2450000000</v>
      </c>
    </row>
    <row r="29" spans="1:27" ht="20" customHeight="1" thickTop="1" x14ac:dyDescent="0.25">
      <c r="A29" s="14" t="s">
        <v>102</v>
      </c>
      <c r="B29" s="1"/>
      <c r="C29" s="15">
        <f>(C28/B28)-1</f>
        <v>3.0872005988023954</v>
      </c>
      <c r="D29" s="15">
        <f>(D28/C28)-1</f>
        <v>-1.3371028294112262</v>
      </c>
      <c r="E29" s="15">
        <f>(E28/D28)-1</f>
        <v>7.1731631128616051</v>
      </c>
      <c r="F29" s="15">
        <f t="shared" ref="F29:G29" si="22">(F28/E28)-1</f>
        <v>-0.31462802638794263</v>
      </c>
      <c r="G29" s="15">
        <f t="shared" si="22"/>
        <v>0.51514122923990779</v>
      </c>
      <c r="H29" s="15">
        <f t="shared" ref="H29" si="23">(H28/G28)-1</f>
        <v>6.9512897650899408E-2</v>
      </c>
      <c r="I29" s="15">
        <f t="shared" ref="I29" si="24">(I28/H28)-1</f>
        <v>-0.33758752767969358</v>
      </c>
      <c r="J29" s="15">
        <f t="shared" ref="J29" si="25">(J28/I28)-1</f>
        <v>-0.42757436812504235</v>
      </c>
      <c r="K29" s="15">
        <f t="shared" ref="K29" si="26">(K28/J28)-1</f>
        <v>-0.68484394112772762</v>
      </c>
      <c r="L29" s="15">
        <f t="shared" ref="L29" si="27">(L28/K28)-1</f>
        <v>3.0299236258920743</v>
      </c>
      <c r="M29" s="15">
        <f t="shared" ref="M29" si="28">(M28/L28)-1</f>
        <v>-2.4481933699941005E-2</v>
      </c>
      <c r="N29" s="15">
        <f t="shared" ref="N29" si="29">(N28/M28)-1</f>
        <v>9.5799547756297976</v>
      </c>
      <c r="O29" s="15">
        <f t="shared" ref="O29" si="30">(O28/N28)-1</f>
        <v>-1.7158338350391378E-2</v>
      </c>
      <c r="P29" s="15">
        <f t="shared" ref="P29" si="31">(P28/O28)-1</f>
        <v>0.4961715160796325</v>
      </c>
      <c r="Q29" s="15">
        <f t="shared" ref="Q29:W29" si="32">(Q28/P28)-1</f>
        <v>0.24216990788126913</v>
      </c>
      <c r="R29" s="15">
        <f t="shared" si="32"/>
        <v>0.41232696110744893</v>
      </c>
      <c r="S29" s="16">
        <f>(S28/R28)-1</f>
        <v>0.40606767794632437</v>
      </c>
      <c r="T29" s="16">
        <f t="shared" si="32"/>
        <v>0.1892116182572614</v>
      </c>
      <c r="U29" s="16">
        <f t="shared" si="32"/>
        <v>0.21981856245638531</v>
      </c>
      <c r="V29" s="16">
        <f t="shared" si="32"/>
        <v>0.19965675057208232</v>
      </c>
      <c r="W29" s="16">
        <f t="shared" si="32"/>
        <v>0.16833571769194089</v>
      </c>
      <c r="Z29" s="15"/>
      <c r="AA29" s="15"/>
    </row>
    <row r="30" spans="1:27"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c r="R30" s="2">
        <f>R28/R3</f>
        <v>0.18137566137566138</v>
      </c>
      <c r="S30" s="41">
        <f>S28/S3</f>
        <v>0.22314814814814815</v>
      </c>
      <c r="T30" s="41">
        <f t="shared" ref="T30:W30" si="33">T28/T3</f>
        <v>0.22390625</v>
      </c>
      <c r="U30" s="41">
        <f t="shared" si="33"/>
        <v>0.23152317880794701</v>
      </c>
      <c r="V30" s="41">
        <f t="shared" si="33"/>
        <v>0.23145695364238411</v>
      </c>
      <c r="W30" s="41">
        <f t="shared" si="33"/>
        <v>0.23444976076555024</v>
      </c>
    </row>
    <row r="31" spans="1:27"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c r="R31" s="12">
        <v>1.08</v>
      </c>
      <c r="S31" s="42">
        <v>1.53</v>
      </c>
      <c r="T31" s="42">
        <v>1.82</v>
      </c>
      <c r="U31" s="42">
        <v>2.23</v>
      </c>
      <c r="V31" s="42">
        <v>2.67</v>
      </c>
      <c r="W31" s="42">
        <v>3.12</v>
      </c>
    </row>
    <row r="32" spans="1:27"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c r="R32" s="12">
        <v>1.06</v>
      </c>
    </row>
    <row r="33" spans="1:18"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c r="R33" s="1">
        <v>791000000</v>
      </c>
    </row>
    <row r="34" spans="1:18"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c r="R34" s="1">
        <v>791000000</v>
      </c>
    </row>
    <row r="35" spans="1:18" ht="20" customHeight="1" x14ac:dyDescent="0.25">
      <c r="A35" s="14" t="s">
        <v>104</v>
      </c>
      <c r="B35" s="1"/>
      <c r="C35" s="19">
        <f>(C34-B34)/B34</f>
        <v>0</v>
      </c>
      <c r="D35" s="19">
        <f t="shared" ref="D35:G35" si="34">(D34-C34)/C34</f>
        <v>0</v>
      </c>
      <c r="E35" s="19">
        <f t="shared" si="34"/>
        <v>-2.8351360209767289E-2</v>
      </c>
      <c r="F35" s="19">
        <f t="shared" si="34"/>
        <v>0.19908308928379767</v>
      </c>
      <c r="G35" s="19">
        <f t="shared" si="34"/>
        <v>4.7152922522153883E-2</v>
      </c>
      <c r="H35" s="19">
        <f t="shared" ref="H35" si="35">(H34-G34)/G34</f>
        <v>1.5557360133348802E-2</v>
      </c>
      <c r="I35" s="19">
        <f t="shared" ref="I35" si="36">(I34-H34)/H34</f>
        <v>1.1146582977111628E-2</v>
      </c>
      <c r="J35" s="19">
        <f t="shared" ref="J35" si="37">(J34-I34)/I34</f>
        <v>6.5761700052918547E-3</v>
      </c>
      <c r="K35" s="19">
        <f t="shared" ref="K35" si="38">(K34-J34)/J34</f>
        <v>4.0475163773192588E-2</v>
      </c>
      <c r="L35" s="19">
        <f t="shared" ref="L35" si="39">(L34-K34)/K34</f>
        <v>1.1184221731453778E-3</v>
      </c>
      <c r="M35" s="19">
        <f t="shared" ref="M35" si="40">(M34-L34)/L34</f>
        <v>9.873084644262722E-3</v>
      </c>
      <c r="N35" s="19">
        <f t="shared" ref="N35" si="41">(N34-M34)/M34</f>
        <v>-2.1782467331914489E-2</v>
      </c>
      <c r="O35" s="19">
        <f t="shared" ref="O35" si="42">(O34-N34)/N34</f>
        <v>4.5924225028702642E-3</v>
      </c>
      <c r="P35" s="19">
        <f t="shared" ref="P35" si="43">(P34-O34)/O34</f>
        <v>-4.1714285714285718E-2</v>
      </c>
      <c r="Q35" s="19">
        <f t="shared" ref="Q35:R35" si="44">(Q34-P34)/P34</f>
        <v>-3.5778175313059034E-3</v>
      </c>
      <c r="R35" s="19">
        <f t="shared" si="44"/>
        <v>-5.3261520047875523E-2</v>
      </c>
    </row>
    <row r="36" spans="1:1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row>
    <row r="37" spans="1:1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row>
    <row r="38" spans="1:18" ht="19" x14ac:dyDescent="0.25">
      <c r="A38" s="5" t="s">
        <v>30</v>
      </c>
      <c r="B38" s="1" t="s">
        <v>91</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c r="R38" s="1">
        <v>1683000000</v>
      </c>
    </row>
    <row r="39" spans="1:18" ht="19" x14ac:dyDescent="0.25">
      <c r="A39" s="5" t="s">
        <v>31</v>
      </c>
      <c r="B39" s="1" t="s">
        <v>91</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c r="R39" s="1">
        <v>528000000</v>
      </c>
    </row>
    <row r="40" spans="1:18" ht="19" x14ac:dyDescent="0.25">
      <c r="A40" s="5" t="s">
        <v>32</v>
      </c>
      <c r="B40" s="1" t="s">
        <v>91</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c r="R40" s="1">
        <v>2211000000</v>
      </c>
    </row>
    <row r="41" spans="1:18" ht="19" x14ac:dyDescent="0.25">
      <c r="A41" s="5" t="s">
        <v>33</v>
      </c>
      <c r="B41" s="1" t="s">
        <v>91</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c r="R41" s="1">
        <v>1262000000</v>
      </c>
    </row>
    <row r="42" spans="1:18" ht="19" x14ac:dyDescent="0.25">
      <c r="A42" s="5" t="s">
        <v>34</v>
      </c>
      <c r="B42" s="1" t="s">
        <v>91</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c r="R42" s="1">
        <v>265000000</v>
      </c>
    </row>
    <row r="43" spans="1:18" ht="19" x14ac:dyDescent="0.25">
      <c r="A43" s="5" t="s">
        <v>35</v>
      </c>
      <c r="B43" s="1" t="s">
        <v>91</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c r="R43" s="1">
        <v>73000000</v>
      </c>
    </row>
    <row r="44" spans="1:18" ht="19" x14ac:dyDescent="0.25">
      <c r="A44" s="6" t="s">
        <v>36</v>
      </c>
      <c r="B44" s="10" t="s">
        <v>91</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c r="R44" s="10">
        <v>3810000000</v>
      </c>
    </row>
    <row r="45" spans="1:18" ht="19" x14ac:dyDescent="0.25">
      <c r="A45" s="5" t="s">
        <v>37</v>
      </c>
      <c r="B45" s="1" t="s">
        <v>91</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c r="R45" s="1">
        <v>899000000</v>
      </c>
    </row>
    <row r="46" spans="1:18" ht="19" x14ac:dyDescent="0.25">
      <c r="A46" s="5" t="s">
        <v>38</v>
      </c>
      <c r="B46" s="1" t="s">
        <v>91</v>
      </c>
      <c r="C46" s="1" t="s">
        <v>91</v>
      </c>
      <c r="D46" s="1" t="s">
        <v>91</v>
      </c>
      <c r="E46" s="1" t="s">
        <v>91</v>
      </c>
      <c r="F46" s="1" t="s">
        <v>91</v>
      </c>
      <c r="G46" s="1" t="s">
        <v>91</v>
      </c>
      <c r="H46" s="1" t="s">
        <v>91</v>
      </c>
      <c r="I46" s="1">
        <v>2872000</v>
      </c>
      <c r="J46" s="1">
        <v>2824000</v>
      </c>
      <c r="K46" s="1">
        <v>4692000</v>
      </c>
      <c r="L46" s="1">
        <v>14553000</v>
      </c>
      <c r="M46" s="1">
        <v>14553000</v>
      </c>
      <c r="N46" s="1">
        <v>38200000</v>
      </c>
      <c r="O46" s="1">
        <v>67200000</v>
      </c>
      <c r="P46" s="1">
        <v>93000000</v>
      </c>
      <c r="Q46" s="1">
        <v>125100000</v>
      </c>
      <c r="R46" s="1">
        <v>128000000</v>
      </c>
    </row>
    <row r="47" spans="1:18" ht="19" x14ac:dyDescent="0.25">
      <c r="A47" s="5" t="s">
        <v>39</v>
      </c>
      <c r="B47" s="1" t="s">
        <v>91</v>
      </c>
      <c r="C47" s="1" t="s">
        <v>91</v>
      </c>
      <c r="D47" s="1" t="s">
        <v>91</v>
      </c>
      <c r="E47" s="1" t="s">
        <v>91</v>
      </c>
      <c r="F47" s="1" t="s">
        <v>91</v>
      </c>
      <c r="G47" s="1" t="s">
        <v>91</v>
      </c>
      <c r="H47" s="1">
        <v>2117000</v>
      </c>
      <c r="I47" s="1">
        <v>6841000</v>
      </c>
      <c r="J47" s="1">
        <v>2832000</v>
      </c>
      <c r="K47" s="1">
        <v>17640000</v>
      </c>
      <c r="L47" s="1">
        <v>24828000</v>
      </c>
      <c r="M47" s="1">
        <v>16255000</v>
      </c>
      <c r="N47" s="1">
        <v>22100000</v>
      </c>
      <c r="O47" s="1">
        <v>31100000</v>
      </c>
      <c r="P47" s="1">
        <v>31600000</v>
      </c>
      <c r="Q47" s="1">
        <v>63600000</v>
      </c>
      <c r="R47" s="1">
        <v>56000000</v>
      </c>
    </row>
    <row r="48" spans="1:18" ht="19" x14ac:dyDescent="0.25">
      <c r="A48" s="5" t="s">
        <v>40</v>
      </c>
      <c r="B48" s="1" t="s">
        <v>91</v>
      </c>
      <c r="C48" s="1" t="s">
        <v>91</v>
      </c>
      <c r="D48" s="1" t="s">
        <v>91</v>
      </c>
      <c r="E48" s="1" t="s">
        <v>91</v>
      </c>
      <c r="F48" s="1" t="s">
        <v>91</v>
      </c>
      <c r="G48" s="1" t="s">
        <v>91</v>
      </c>
      <c r="H48" s="1">
        <v>2117000</v>
      </c>
      <c r="I48" s="1">
        <v>9713000</v>
      </c>
      <c r="J48" s="1">
        <v>5656000</v>
      </c>
      <c r="K48" s="1">
        <v>22332000</v>
      </c>
      <c r="L48" s="1">
        <v>39381000</v>
      </c>
      <c r="M48" s="1">
        <v>30808000</v>
      </c>
      <c r="N48" s="1">
        <v>60300000</v>
      </c>
      <c r="O48" s="1">
        <v>98300000</v>
      </c>
      <c r="P48" s="1">
        <v>124600000</v>
      </c>
      <c r="Q48" s="1">
        <v>188700000</v>
      </c>
      <c r="R48" s="1">
        <v>184000000</v>
      </c>
    </row>
    <row r="49" spans="1:18" ht="19" x14ac:dyDescent="0.25">
      <c r="A49" s="5" t="s">
        <v>41</v>
      </c>
      <c r="B49" s="1" t="s">
        <v>91</v>
      </c>
      <c r="C49" s="1" t="s">
        <v>91</v>
      </c>
      <c r="D49" s="1" t="s">
        <v>91</v>
      </c>
      <c r="E49" s="1" t="s">
        <v>91</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c r="R49" s="1">
        <v>46000000</v>
      </c>
    </row>
    <row r="50" spans="1:18" ht="19" x14ac:dyDescent="0.25">
      <c r="A50" s="5" t="s">
        <v>42</v>
      </c>
      <c r="B50" s="1" t="s">
        <v>91</v>
      </c>
      <c r="C50" s="1" t="s">
        <v>91</v>
      </c>
      <c r="D50" s="1" t="s">
        <v>91</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c r="R50" s="1">
        <v>342300000</v>
      </c>
    </row>
    <row r="51" spans="1:18" ht="19" x14ac:dyDescent="0.25">
      <c r="A51" s="5" t="s">
        <v>43</v>
      </c>
      <c r="B51" s="1" t="s">
        <v>91</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c r="R51" s="1">
        <v>1290000000</v>
      </c>
    </row>
    <row r="52" spans="1:18" ht="19" x14ac:dyDescent="0.25">
      <c r="A52" s="5" t="s">
        <v>44</v>
      </c>
      <c r="B52" s="1" t="s">
        <v>91</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c r="R52" s="1">
        <v>2418000000</v>
      </c>
    </row>
    <row r="53" spans="1:1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row>
    <row r="54" spans="1:18" ht="20" thickBot="1" x14ac:dyDescent="0.3">
      <c r="A54" s="7" t="s">
        <v>46</v>
      </c>
      <c r="B54" s="11" t="s">
        <v>91</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c r="R54" s="11">
        <v>6228000000</v>
      </c>
    </row>
    <row r="55" spans="1:18" ht="20" thickTop="1" x14ac:dyDescent="0.25">
      <c r="A55" s="5" t="s">
        <v>47</v>
      </c>
      <c r="B55" s="1" t="s">
        <v>91</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c r="R55" s="1">
        <v>243000000</v>
      </c>
    </row>
    <row r="56" spans="1:18" ht="19" x14ac:dyDescent="0.25">
      <c r="A56" s="5" t="s">
        <v>48</v>
      </c>
      <c r="B56" s="1" t="s">
        <v>91</v>
      </c>
      <c r="C56" s="22">
        <v>0</v>
      </c>
      <c r="D56" s="22">
        <v>0</v>
      </c>
      <c r="E56" s="22">
        <v>0</v>
      </c>
      <c r="F56" s="22">
        <v>0</v>
      </c>
      <c r="G56" s="22">
        <v>0</v>
      </c>
      <c r="H56" s="22">
        <v>0</v>
      </c>
      <c r="I56" s="22">
        <v>0</v>
      </c>
      <c r="J56" s="22">
        <v>0</v>
      </c>
      <c r="K56" s="22">
        <v>0</v>
      </c>
      <c r="L56" s="22">
        <v>0</v>
      </c>
      <c r="M56" s="22">
        <v>0</v>
      </c>
      <c r="N56" s="22">
        <v>0</v>
      </c>
      <c r="O56" s="22">
        <v>0</v>
      </c>
      <c r="P56" s="22">
        <v>0</v>
      </c>
      <c r="Q56" s="22">
        <v>0</v>
      </c>
      <c r="R56" s="22">
        <v>0</v>
      </c>
    </row>
    <row r="57" spans="1:18" ht="19" x14ac:dyDescent="0.25">
      <c r="A57" s="5" t="s">
        <v>49</v>
      </c>
      <c r="B57" s="1" t="s">
        <v>91</v>
      </c>
      <c r="C57" s="1">
        <v>917000</v>
      </c>
      <c r="D57" s="1" t="s">
        <v>91</v>
      </c>
      <c r="E57" s="1" t="s">
        <v>91</v>
      </c>
      <c r="F57" s="1" t="s">
        <v>91</v>
      </c>
      <c r="G57" s="1" t="s">
        <v>91</v>
      </c>
      <c r="H57" s="1" t="s">
        <v>91</v>
      </c>
      <c r="I57" s="1">
        <v>21421000</v>
      </c>
      <c r="J57" s="1">
        <v>2689000</v>
      </c>
      <c r="K57" s="1">
        <v>8379000</v>
      </c>
      <c r="L57" s="1">
        <v>13588000</v>
      </c>
      <c r="M57" s="1">
        <v>21435000</v>
      </c>
      <c r="N57" s="1">
        <v>28200000</v>
      </c>
      <c r="O57" s="1">
        <v>4100000</v>
      </c>
      <c r="P57" s="1" t="s">
        <v>91</v>
      </c>
      <c r="Q57" s="1" t="s">
        <v>91</v>
      </c>
      <c r="R57" s="1" t="s">
        <v>91</v>
      </c>
    </row>
    <row r="58" spans="1:18" ht="19" x14ac:dyDescent="0.25">
      <c r="A58" s="5" t="s">
        <v>50</v>
      </c>
      <c r="B58" s="1" t="s">
        <v>91</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c r="R58" s="1">
        <v>2349000000</v>
      </c>
    </row>
    <row r="59" spans="1:18" ht="19" x14ac:dyDescent="0.25">
      <c r="A59" s="5" t="s">
        <v>51</v>
      </c>
      <c r="B59" s="1" t="s">
        <v>91</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c r="R59" s="1">
        <v>486000000</v>
      </c>
    </row>
    <row r="60" spans="1:18" ht="19" x14ac:dyDescent="0.25">
      <c r="A60" s="6" t="s">
        <v>52</v>
      </c>
      <c r="B60" s="10" t="s">
        <v>91</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c r="R60" s="10">
        <v>3078000000</v>
      </c>
    </row>
    <row r="61" spans="1:18"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988400000</v>
      </c>
      <c r="R61" s="1">
        <v>990000000</v>
      </c>
    </row>
    <row r="62" spans="1:18" ht="19" x14ac:dyDescent="0.25">
      <c r="A62" s="5" t="s">
        <v>50</v>
      </c>
      <c r="B62" s="1" t="s">
        <v>91</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c r="R62" s="1">
        <v>2291000000</v>
      </c>
    </row>
    <row r="63" spans="1:1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row>
    <row r="64" spans="1:18" ht="19" x14ac:dyDescent="0.25">
      <c r="A64" s="5" t="s">
        <v>55</v>
      </c>
      <c r="B64" s="1" t="s">
        <v>91</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c r="R64" s="1">
        <v>150000000</v>
      </c>
    </row>
    <row r="65" spans="1:18" ht="19" x14ac:dyDescent="0.25">
      <c r="A65" s="5" t="s">
        <v>56</v>
      </c>
      <c r="B65" s="1" t="s">
        <v>91</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c r="R65" s="1">
        <v>3431000000</v>
      </c>
    </row>
    <row r="66" spans="1:1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row>
    <row r="67" spans="1:18" ht="19" x14ac:dyDescent="0.25">
      <c r="A67" s="6" t="s">
        <v>58</v>
      </c>
      <c r="B67" s="10" t="s">
        <v>91</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c r="R67" s="10">
        <v>6510000000</v>
      </c>
    </row>
    <row r="68" spans="1:18" ht="19" x14ac:dyDescent="0.25">
      <c r="A68" s="5" t="s">
        <v>59</v>
      </c>
      <c r="B68" s="1" t="s">
        <v>91</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c r="R68" s="1">
        <v>200000</v>
      </c>
    </row>
    <row r="69" spans="1:18" ht="19" x14ac:dyDescent="0.25">
      <c r="A69" s="5" t="s">
        <v>60</v>
      </c>
      <c r="B69" s="1" t="s">
        <v>91</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c r="R69" s="1">
        <v>-1546000000</v>
      </c>
    </row>
    <row r="70" spans="1:18" ht="19" x14ac:dyDescent="0.25">
      <c r="A70" s="5" t="s">
        <v>61</v>
      </c>
      <c r="B70" s="1" t="s">
        <v>91</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c r="R70" s="1">
        <v>-20000000</v>
      </c>
    </row>
    <row r="71" spans="1:18" ht="19" x14ac:dyDescent="0.25">
      <c r="A71" s="5" t="s">
        <v>62</v>
      </c>
      <c r="B71" s="1" t="s">
        <v>91</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c r="R71" s="1">
        <v>-282000000</v>
      </c>
    </row>
    <row r="72" spans="1:18" ht="19" x14ac:dyDescent="0.25">
      <c r="A72" s="6" t="s">
        <v>63</v>
      </c>
      <c r="B72" s="10" t="s">
        <v>91</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c r="R72" s="10">
        <v>-282000000</v>
      </c>
    </row>
    <row r="73" spans="1:18" ht="20" thickBot="1" x14ac:dyDescent="0.3">
      <c r="A73" s="7" t="s">
        <v>64</v>
      </c>
      <c r="B73" s="11" t="s">
        <v>91</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c r="R73" s="11">
        <v>6228000000</v>
      </c>
    </row>
    <row r="74" spans="1:1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row>
    <row r="75" spans="1:1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row>
    <row r="76" spans="1:18" ht="19" x14ac:dyDescent="0.25">
      <c r="A76" s="5" t="s">
        <v>66</v>
      </c>
      <c r="B76" s="1">
        <v>-5344000</v>
      </c>
      <c r="C76" s="1">
        <v>-21842000</v>
      </c>
      <c r="D76" s="1">
        <v>7363000</v>
      </c>
      <c r="E76" s="1">
        <v>60179000</v>
      </c>
      <c r="F76" s="1">
        <v>41245000</v>
      </c>
      <c r="G76" s="1" t="s">
        <v>91</v>
      </c>
      <c r="H76" s="1">
        <v>66836000</v>
      </c>
      <c r="I76" s="1">
        <v>44273000</v>
      </c>
      <c r="J76" s="1">
        <v>25343000</v>
      </c>
      <c r="K76" s="1">
        <v>7987000</v>
      </c>
      <c r="L76" s="1">
        <v>32187000</v>
      </c>
      <c r="M76" s="1">
        <v>31399000</v>
      </c>
      <c r="N76" s="1">
        <v>332200000</v>
      </c>
      <c r="O76" s="1">
        <v>326500000</v>
      </c>
      <c r="P76" s="1">
        <v>488500000</v>
      </c>
      <c r="Q76" s="1">
        <v>606700000</v>
      </c>
      <c r="R76" s="1">
        <v>857000000</v>
      </c>
    </row>
    <row r="77" spans="1:18"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c r="R77" s="1">
        <v>104000000</v>
      </c>
    </row>
    <row r="78" spans="1:1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-94000000</v>
      </c>
      <c r="R78" s="1">
        <v>0</v>
      </c>
    </row>
    <row r="79" spans="1:18"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c r="R79" s="1">
        <v>217000000</v>
      </c>
    </row>
    <row r="80" spans="1:18" ht="19" x14ac:dyDescent="0.25">
      <c r="A80" s="14" t="s">
        <v>106</v>
      </c>
      <c r="B80" s="15">
        <f t="shared" ref="B80:G80" si="45">B79/B3</f>
        <v>9.775970712584842E-3</v>
      </c>
      <c r="C80" s="15">
        <f t="shared" si="45"/>
        <v>6.0064621603182163E-2</v>
      </c>
      <c r="D80" s="15">
        <f t="shared" si="45"/>
        <v>2.5019948911898994E-2</v>
      </c>
      <c r="E80" s="15">
        <f t="shared" si="45"/>
        <v>2.9593637824008884E-2</v>
      </c>
      <c r="F80" s="15">
        <f t="shared" si="45"/>
        <v>2.8688373124399438E-2</v>
      </c>
      <c r="G80" s="15">
        <f t="shared" si="45"/>
        <v>4.3856209753307382E-2</v>
      </c>
      <c r="H80" s="15">
        <f t="shared" ref="H80" si="46">H79/H3</f>
        <v>5.7510789128980451E-2</v>
      </c>
      <c r="I80" s="15">
        <f t="shared" ref="I80" si="47">I79/I3</f>
        <v>7.1362285205356119E-2</v>
      </c>
      <c r="J80" s="15">
        <f t="shared" ref="J80" si="48">J79/J3</f>
        <v>7.6579383252592281E-2</v>
      </c>
      <c r="K80" s="15">
        <f t="shared" ref="K80" si="49">K79/K3</f>
        <v>9.4214817075345694E-2</v>
      </c>
      <c r="L80" s="15">
        <f t="shared" ref="L80" si="50">L79/L3</f>
        <v>9.598468924130675E-2</v>
      </c>
      <c r="M80" s="15">
        <f t="shared" ref="M80" si="51">M79/M3</f>
        <v>9.1765500725786486E-2</v>
      </c>
      <c r="N80" s="15">
        <f t="shared" ref="N80" si="52">N79/N3</f>
        <v>9.0439706862091934E-2</v>
      </c>
      <c r="O80" s="15">
        <f t="shared" ref="O80" si="53">O79/O3</f>
        <v>8.0743901307856414E-2</v>
      </c>
      <c r="P80" s="15">
        <f t="shared" ref="P80" si="54">P79/P3</f>
        <v>7.3889916743755779E-2</v>
      </c>
      <c r="Q80" s="15">
        <f t="shared" ref="Q80:R80" si="55">Q79/Q3</f>
        <v>6.2204535934414461E-2</v>
      </c>
      <c r="R80" s="15">
        <f t="shared" si="55"/>
        <v>4.5925925925925926E-2</v>
      </c>
    </row>
    <row r="81" spans="1:26"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c r="R81" s="1">
        <v>233000000</v>
      </c>
    </row>
    <row r="82" spans="1:26"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c r="R82" s="1">
        <v>-457000000</v>
      </c>
    </row>
    <row r="83" spans="1:26" ht="19"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R83" s="1">
        <v>-109000000</v>
      </c>
    </row>
    <row r="84" spans="1:26" ht="19" customHeight="1"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R84" s="1">
        <v>185000000</v>
      </c>
      <c r="S84" s="44"/>
      <c r="T84" s="44"/>
      <c r="U84" s="44"/>
      <c r="V84" s="44"/>
      <c r="W84" s="44"/>
      <c r="X84" s="44"/>
      <c r="Y84" s="74" t="s">
        <v>121</v>
      </c>
      <c r="Z84" s="75"/>
    </row>
    <row r="85" spans="1:26" ht="20" customHeight="1"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R85" s="1">
        <v>621000000</v>
      </c>
      <c r="S85" s="44"/>
      <c r="T85" s="44"/>
      <c r="U85" s="44"/>
      <c r="V85" s="44"/>
      <c r="W85" s="44"/>
      <c r="X85" s="44"/>
      <c r="Y85" s="76" t="s">
        <v>122</v>
      </c>
      <c r="Z85" s="76"/>
    </row>
    <row r="86" spans="1:26" ht="20" x14ac:dyDescent="0.25">
      <c r="A86" s="5" t="s">
        <v>72</v>
      </c>
      <c r="B86" s="1">
        <v>39000</v>
      </c>
      <c r="C86" s="1" t="s">
        <v>91</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R86" s="1">
        <v>292300000</v>
      </c>
      <c r="S86" s="44"/>
      <c r="T86" s="44"/>
      <c r="U86" s="44"/>
      <c r="V86" s="44"/>
      <c r="W86" s="44"/>
      <c r="X86" s="44"/>
      <c r="Y86" s="33" t="s">
        <v>101</v>
      </c>
      <c r="Z86" s="45">
        <f>R17</f>
        <v>18000000</v>
      </c>
    </row>
    <row r="87" spans="1:26"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R87" s="10">
        <v>1731000000</v>
      </c>
      <c r="S87" s="44"/>
      <c r="T87" s="44"/>
      <c r="U87" s="44"/>
      <c r="V87" s="44"/>
      <c r="W87" s="44"/>
      <c r="X87" s="44"/>
      <c r="Y87" s="33" t="s">
        <v>123</v>
      </c>
      <c r="Z87" s="46">
        <f>R56</f>
        <v>0</v>
      </c>
    </row>
    <row r="88" spans="1:26"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R88" s="1">
        <v>-281000000</v>
      </c>
      <c r="S88" s="44"/>
      <c r="T88" s="44"/>
      <c r="U88" s="44"/>
      <c r="V88" s="44"/>
      <c r="W88" s="44"/>
      <c r="X88" s="44"/>
      <c r="Y88" s="33" t="s">
        <v>124</v>
      </c>
      <c r="Z88" s="45">
        <f>R61</f>
        <v>990000000</v>
      </c>
    </row>
    <row r="89" spans="1:26" ht="20" x14ac:dyDescent="0.25">
      <c r="A89" s="14" t="s">
        <v>107</v>
      </c>
      <c r="B89" s="15">
        <f t="shared" ref="B89:G89" si="56">(-1*B88)/B3</f>
        <v>9.6139827968833528E-3</v>
      </c>
      <c r="C89" s="15">
        <f t="shared" si="56"/>
        <v>1.3053048929624242E-2</v>
      </c>
      <c r="D89" s="15">
        <f t="shared" si="56"/>
        <v>1.3211137394884579E-2</v>
      </c>
      <c r="E89" s="15">
        <f t="shared" si="56"/>
        <v>1.8202010987049561E-2</v>
      </c>
      <c r="F89" s="15">
        <f t="shared" si="56"/>
        <v>1.1629339443664228E-2</v>
      </c>
      <c r="G89" s="15">
        <f t="shared" si="56"/>
        <v>8.3583962211930558E-3</v>
      </c>
      <c r="H89" s="15">
        <f t="shared" ref="H89" si="57">(-1*H88)/H3</f>
        <v>4.1381907993980949E-2</v>
      </c>
      <c r="I89" s="15">
        <f t="shared" ref="I89" si="58">(-1*I88)/I3</f>
        <v>2.2553336031217446E-2</v>
      </c>
      <c r="J89" s="15">
        <f t="shared" ref="J89" si="59">(-1*J88)/J3</f>
        <v>4.1794528300907102E-2</v>
      </c>
      <c r="K89" s="15">
        <f t="shared" ref="K89" si="60">(-1*K88)/K3</f>
        <v>3.701494548524277E-2</v>
      </c>
      <c r="L89" s="15">
        <f t="shared" ref="L89" si="61">(-1*L88)/L3</f>
        <v>5.2673463259432216E-2</v>
      </c>
      <c r="M89" s="15">
        <f t="shared" ref="M89" si="62">(-1*M88)/M3</f>
        <v>9.0513937107423087E-2</v>
      </c>
      <c r="N89" s="15">
        <f t="shared" ref="N89" si="63">(-1*N88)/N3</f>
        <v>2.94248278925161E-2</v>
      </c>
      <c r="O89" s="15">
        <f t="shared" ref="O89" si="64">(-1*O88)/O3</f>
        <v>4.2760411835636766E-2</v>
      </c>
      <c r="P89" s="15">
        <f t="shared" ref="P89" si="65">(-1*P88)/P3</f>
        <v>4.8527597903176074E-2</v>
      </c>
      <c r="Q89" s="15">
        <f t="shared" ref="Q89:R89" si="66">(-1*Q88)/Q3</f>
        <v>8.853449823469571E-2</v>
      </c>
      <c r="R89" s="15">
        <f t="shared" si="66"/>
        <v>5.9470899470899473E-2</v>
      </c>
      <c r="S89" s="44"/>
      <c r="T89" s="44"/>
      <c r="U89" s="44"/>
      <c r="V89" s="44"/>
      <c r="W89" s="44"/>
      <c r="X89" s="44"/>
      <c r="Y89" s="34" t="s">
        <v>125</v>
      </c>
      <c r="Z89" s="47">
        <f>Z86/(Z87+Z88)</f>
        <v>1.8181818181818181E-2</v>
      </c>
    </row>
    <row r="90" spans="1:26" ht="20" x14ac:dyDescent="0.25">
      <c r="A90" s="5" t="s">
        <v>75</v>
      </c>
      <c r="B90" s="1" t="s">
        <v>91</v>
      </c>
      <c r="C90" s="1" t="s">
        <v>91</v>
      </c>
      <c r="D90" s="1">
        <v>-2000000</v>
      </c>
      <c r="E90" s="1" t="s">
        <v>91</v>
      </c>
      <c r="F90" s="1" t="s">
        <v>91</v>
      </c>
      <c r="G90" s="1">
        <v>-2623000</v>
      </c>
      <c r="H90" s="1">
        <v>-1249000</v>
      </c>
      <c r="I90" s="1">
        <v>-7635000</v>
      </c>
      <c r="J90" s="1">
        <v>-17000</v>
      </c>
      <c r="K90" s="1">
        <v>-38025000</v>
      </c>
      <c r="L90" s="1">
        <v>-22087000</v>
      </c>
      <c r="M90" s="1" t="s">
        <v>91</v>
      </c>
      <c r="N90" s="1">
        <v>-21700000</v>
      </c>
      <c r="O90" s="1">
        <v>-34600000</v>
      </c>
      <c r="P90" s="1">
        <v>-40200000</v>
      </c>
      <c r="Q90" s="1">
        <v>-234900000</v>
      </c>
      <c r="R90" s="1">
        <v>-31000000</v>
      </c>
      <c r="S90" s="44"/>
      <c r="T90" s="44"/>
      <c r="U90" s="44"/>
      <c r="V90" s="44"/>
      <c r="W90" s="44"/>
      <c r="X90" s="44"/>
      <c r="Y90" s="33" t="s">
        <v>126</v>
      </c>
      <c r="Z90" s="45">
        <f>R27</f>
        <v>31000000</v>
      </c>
    </row>
    <row r="91" spans="1:26"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R91" s="1">
        <v>-389000000</v>
      </c>
      <c r="S91" s="44"/>
      <c r="T91" s="44"/>
      <c r="U91" s="44"/>
      <c r="V91" s="44"/>
      <c r="W91" s="44"/>
      <c r="X91" s="44"/>
      <c r="Y91" s="33" t="s">
        <v>19</v>
      </c>
      <c r="Z91" s="45">
        <f>R25</f>
        <v>956000000</v>
      </c>
    </row>
    <row r="92" spans="1:26"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R92" s="1">
        <v>1465000000</v>
      </c>
      <c r="S92" s="44"/>
      <c r="T92" s="44"/>
      <c r="U92" s="44"/>
      <c r="V92" s="44"/>
      <c r="W92" s="44"/>
      <c r="X92" s="44"/>
      <c r="Y92" s="34" t="s">
        <v>127</v>
      </c>
      <c r="Z92" s="47">
        <f>Z90/Z91</f>
        <v>3.2426778242677826E-2</v>
      </c>
    </row>
    <row r="93" spans="1:26" ht="19" customHeight="1" x14ac:dyDescent="0.25">
      <c r="A93" s="5" t="s">
        <v>78</v>
      </c>
      <c r="B93" s="1">
        <v>100000</v>
      </c>
      <c r="C93" s="1" t="s">
        <v>91</v>
      </c>
      <c r="D93" s="1">
        <v>-62000</v>
      </c>
      <c r="E93" s="1">
        <v>-549000</v>
      </c>
      <c r="F93" s="1">
        <v>62000</v>
      </c>
      <c r="G93" s="1" t="s">
        <v>91</v>
      </c>
      <c r="H93" s="1" t="s">
        <v>91</v>
      </c>
      <c r="I93" s="1" t="s">
        <v>91</v>
      </c>
      <c r="J93" s="1" t="s">
        <v>91</v>
      </c>
      <c r="K93" s="1" t="s">
        <v>91</v>
      </c>
      <c r="L93" s="1" t="s">
        <v>91</v>
      </c>
      <c r="M93" s="1" t="s">
        <v>91</v>
      </c>
      <c r="N93" s="1" t="s">
        <v>91</v>
      </c>
      <c r="O93" s="1" t="s">
        <v>91</v>
      </c>
      <c r="P93" s="1">
        <v>1300000</v>
      </c>
      <c r="Q93" s="1"/>
      <c r="R93" s="1"/>
      <c r="S93" s="44"/>
      <c r="T93" s="44"/>
      <c r="U93" s="44"/>
      <c r="V93" s="44"/>
      <c r="W93" s="44"/>
      <c r="X93" s="44"/>
      <c r="Y93" s="34" t="s">
        <v>128</v>
      </c>
      <c r="Z93" s="47">
        <f>Z89*(1-Z92)</f>
        <v>1.7592240395587676E-2</v>
      </c>
    </row>
    <row r="94" spans="1:26" ht="20" customHeight="1"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R94" s="10">
        <v>764000000</v>
      </c>
      <c r="S94" s="44"/>
      <c r="T94" s="44"/>
      <c r="U94" s="44"/>
      <c r="V94" s="44"/>
      <c r="W94" s="44"/>
      <c r="X94" s="44"/>
      <c r="Y94" s="76" t="s">
        <v>129</v>
      </c>
      <c r="Z94" s="76"/>
    </row>
    <row r="95" spans="1:26" ht="20" x14ac:dyDescent="0.25">
      <c r="A95" s="5" t="s">
        <v>80</v>
      </c>
      <c r="B95" s="1" t="s">
        <v>91</v>
      </c>
      <c r="C95" s="1" t="s">
        <v>91</v>
      </c>
      <c r="D95" s="1" t="s">
        <v>91</v>
      </c>
      <c r="E95" s="1" t="s">
        <v>91</v>
      </c>
      <c r="F95" s="1" t="s">
        <v>91</v>
      </c>
      <c r="G95" s="1" t="s">
        <v>91</v>
      </c>
      <c r="H95" s="1" t="s">
        <v>91</v>
      </c>
      <c r="I95" s="1" t="s">
        <v>91</v>
      </c>
      <c r="J95" s="1" t="s">
        <v>91</v>
      </c>
      <c r="K95" s="1" t="s">
        <v>91</v>
      </c>
      <c r="L95" s="1">
        <v>-1626000</v>
      </c>
      <c r="M95" s="1" t="s">
        <v>91</v>
      </c>
      <c r="N95" s="1">
        <v>-10100000</v>
      </c>
      <c r="O95" s="1">
        <v>-3700000</v>
      </c>
      <c r="P95" s="1">
        <v>-4100000</v>
      </c>
      <c r="Q95" s="1">
        <v>-19500000</v>
      </c>
      <c r="R95" s="1">
        <v>0</v>
      </c>
      <c r="S95" s="44"/>
      <c r="T95" s="44"/>
      <c r="U95" s="44"/>
      <c r="V95" s="44"/>
      <c r="W95" s="44"/>
      <c r="X95" s="44"/>
      <c r="Y95" s="33" t="s">
        <v>103</v>
      </c>
      <c r="Z95" s="48">
        <f>'[1]US Treasury Bonds'!$C$8</f>
        <v>4.9880000000000008E-2</v>
      </c>
    </row>
    <row r="96" spans="1:26" ht="20" x14ac:dyDescent="0.25">
      <c r="A96" s="5" t="s">
        <v>81</v>
      </c>
      <c r="B96" s="1" t="s">
        <v>91</v>
      </c>
      <c r="C96" s="1" t="s">
        <v>91</v>
      </c>
      <c r="D96" s="1" t="s">
        <v>91</v>
      </c>
      <c r="E96" s="1">
        <v>88260000</v>
      </c>
      <c r="F96" s="1" t="s">
        <v>91</v>
      </c>
      <c r="G96" s="1" t="s">
        <v>91</v>
      </c>
      <c r="H96" s="1">
        <v>38087000</v>
      </c>
      <c r="I96" s="1">
        <v>25584000</v>
      </c>
      <c r="J96" s="1">
        <v>55324000</v>
      </c>
      <c r="K96" s="1">
        <v>67314000</v>
      </c>
      <c r="L96" s="1">
        <v>44861000</v>
      </c>
      <c r="M96" s="1">
        <v>75869000</v>
      </c>
      <c r="N96" s="1">
        <v>86500000</v>
      </c>
      <c r="O96" s="1">
        <v>49500000</v>
      </c>
      <c r="P96" s="1">
        <v>22100000</v>
      </c>
      <c r="Q96" s="1">
        <v>26000000</v>
      </c>
      <c r="R96" s="1">
        <v>26000000</v>
      </c>
      <c r="S96" s="44"/>
      <c r="T96" s="44"/>
      <c r="U96" s="44"/>
      <c r="V96" s="44"/>
      <c r="W96" s="44"/>
      <c r="X96" s="44"/>
      <c r="Y96" s="33" t="s">
        <v>130</v>
      </c>
      <c r="Z96" s="49" cm="1">
        <f t="array" ref="Z96">_FV(A1,"Beta")</f>
        <v>1.1366000000000001</v>
      </c>
    </row>
    <row r="97" spans="1:26" ht="20" x14ac:dyDescent="0.25">
      <c r="A97" s="5" t="s">
        <v>82</v>
      </c>
      <c r="B97" s="1">
        <v>-60000</v>
      </c>
      <c r="C97" s="1" t="s">
        <v>91</v>
      </c>
      <c r="D97" s="1" t="s">
        <v>91</v>
      </c>
      <c r="E97" s="1">
        <v>-15763000</v>
      </c>
      <c r="F97" s="1" t="s">
        <v>91</v>
      </c>
      <c r="G97" s="1" t="s">
        <v>91</v>
      </c>
      <c r="H97" s="1" t="s">
        <v>91</v>
      </c>
      <c r="I97" s="1">
        <v>-33529000</v>
      </c>
      <c r="J97" s="1">
        <v>-43977000</v>
      </c>
      <c r="K97" s="1">
        <v>-60000000</v>
      </c>
      <c r="L97" s="1">
        <v>-110828000</v>
      </c>
      <c r="M97" s="1">
        <v>-446333000</v>
      </c>
      <c r="N97" s="1">
        <v>-211800000</v>
      </c>
      <c r="O97" s="1">
        <v>-145100000</v>
      </c>
      <c r="P97" s="1">
        <v>-1080100000</v>
      </c>
      <c r="Q97" s="1">
        <v>-741800000</v>
      </c>
      <c r="R97" s="1">
        <v>-1991000000</v>
      </c>
      <c r="S97" s="44"/>
      <c r="T97" s="44"/>
      <c r="U97" s="44"/>
      <c r="V97" s="44"/>
      <c r="W97" s="44"/>
      <c r="X97" s="44"/>
      <c r="Y97" s="33" t="s">
        <v>131</v>
      </c>
      <c r="Z97" s="48">
        <v>8.4000000000000005E-2</v>
      </c>
    </row>
    <row r="98" spans="1:26" ht="19" customHeight="1" x14ac:dyDescent="0.25">
      <c r="A98" s="5" t="s">
        <v>83</v>
      </c>
      <c r="B98" s="22">
        <v>0</v>
      </c>
      <c r="C98" s="22">
        <v>0</v>
      </c>
      <c r="D98" s="22">
        <v>0</v>
      </c>
      <c r="E98" s="22">
        <v>0</v>
      </c>
      <c r="F98" s="22">
        <v>0</v>
      </c>
      <c r="G98" s="22">
        <v>0</v>
      </c>
      <c r="H98" s="22">
        <v>0</v>
      </c>
      <c r="I98" s="22">
        <v>0</v>
      </c>
      <c r="J98" s="22">
        <v>0</v>
      </c>
      <c r="K98" s="22">
        <v>0</v>
      </c>
      <c r="L98" s="22">
        <v>0</v>
      </c>
      <c r="M98" s="22">
        <v>0</v>
      </c>
      <c r="N98" s="22">
        <v>0</v>
      </c>
      <c r="O98" s="22">
        <v>0</v>
      </c>
      <c r="P98" s="22">
        <v>0</v>
      </c>
      <c r="Q98" s="22">
        <v>0</v>
      </c>
      <c r="R98" s="22">
        <v>0</v>
      </c>
      <c r="S98" s="44"/>
      <c r="T98" s="44"/>
      <c r="U98" s="44"/>
      <c r="V98" s="44"/>
      <c r="W98" s="44"/>
      <c r="X98" s="44"/>
      <c r="Y98" s="34" t="s">
        <v>132</v>
      </c>
      <c r="Z98" s="47">
        <f>(Z95)+((Z96)*(Z97-Z95))</f>
        <v>8.8660792000000016E-2</v>
      </c>
    </row>
    <row r="99" spans="1:26" ht="20" customHeight="1"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R99" s="1">
        <v>818100000</v>
      </c>
      <c r="S99" s="44"/>
      <c r="T99" s="44"/>
      <c r="U99" s="44"/>
      <c r="V99" s="44"/>
      <c r="W99" s="44"/>
      <c r="X99" s="44"/>
      <c r="Y99" s="76" t="s">
        <v>133</v>
      </c>
      <c r="Z99" s="76"/>
    </row>
    <row r="100" spans="1:26"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R100" s="10">
        <v>-2130000000</v>
      </c>
      <c r="S100" s="44"/>
      <c r="T100" s="44"/>
      <c r="U100" s="44"/>
      <c r="V100" s="44"/>
      <c r="W100" s="44"/>
      <c r="X100" s="44"/>
      <c r="Y100" s="33" t="s">
        <v>134</v>
      </c>
      <c r="Z100" s="45">
        <f>Z87+Z88</f>
        <v>990000000</v>
      </c>
    </row>
    <row r="101" spans="1:26" ht="20" x14ac:dyDescent="0.25">
      <c r="A101" s="5" t="s">
        <v>86</v>
      </c>
      <c r="B101" s="1" t="s">
        <v>91</v>
      </c>
      <c r="C101" s="1">
        <v>460000</v>
      </c>
      <c r="D101" s="1">
        <v>-937000</v>
      </c>
      <c r="E101" s="1">
        <v>2110000</v>
      </c>
      <c r="F101" s="1">
        <v>709000</v>
      </c>
      <c r="G101" s="1">
        <v>-682000</v>
      </c>
      <c r="H101" s="1">
        <v>-326000</v>
      </c>
      <c r="I101" s="1">
        <v>-1329000</v>
      </c>
      <c r="J101" s="1">
        <v>-600000</v>
      </c>
      <c r="K101" s="1" t="s">
        <v>91</v>
      </c>
      <c r="L101" s="1" t="s">
        <v>91</v>
      </c>
      <c r="M101" s="1" t="s">
        <v>91</v>
      </c>
      <c r="N101" s="1" t="s">
        <v>91</v>
      </c>
      <c r="O101" s="1" t="s">
        <v>91</v>
      </c>
      <c r="P101" s="1" t="s">
        <v>91</v>
      </c>
      <c r="Q101" s="1">
        <v>-100000</v>
      </c>
      <c r="R101" s="1">
        <v>-100000</v>
      </c>
      <c r="S101" s="44"/>
      <c r="T101" s="44"/>
      <c r="U101" s="44"/>
      <c r="V101" s="44"/>
      <c r="W101" s="44"/>
      <c r="X101" s="44"/>
      <c r="Y101" s="34" t="s">
        <v>105</v>
      </c>
      <c r="Z101" s="47">
        <f>Z100/Z104</f>
        <v>2.1877685417655366E-2</v>
      </c>
    </row>
    <row r="102" spans="1:26"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R102" s="10">
        <v>364000000</v>
      </c>
      <c r="S102" s="44"/>
      <c r="T102" s="44"/>
      <c r="U102" s="44"/>
      <c r="V102" s="44"/>
      <c r="W102" s="44"/>
      <c r="X102" s="44"/>
      <c r="Y102" s="33" t="s">
        <v>135</v>
      </c>
      <c r="Z102" s="50" cm="1">
        <f t="array" ref="Z102">_FV(A1,"Market cap",TRUE)</f>
        <v>44261587684</v>
      </c>
    </row>
    <row r="103" spans="1:26"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R103" s="1">
        <v>1319000000</v>
      </c>
      <c r="S103" s="44"/>
      <c r="T103" s="44"/>
      <c r="U103" s="44"/>
      <c r="V103" s="44"/>
      <c r="W103" s="44"/>
      <c r="X103" s="44"/>
      <c r="Y103" s="34" t="s">
        <v>136</v>
      </c>
      <c r="Z103" s="47">
        <f>Z102/Z104</f>
        <v>0.97812231458234467</v>
      </c>
    </row>
    <row r="104" spans="1:26" ht="20" customHeight="1"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R104" s="11">
        <v>1683000000</v>
      </c>
      <c r="S104" s="78" t="s">
        <v>115</v>
      </c>
      <c r="T104" s="78"/>
      <c r="U104" s="78"/>
      <c r="V104" s="78"/>
      <c r="W104" s="78"/>
      <c r="X104" s="44"/>
      <c r="Y104" s="34" t="s">
        <v>137</v>
      </c>
      <c r="Z104" s="51">
        <f>Z100+Z102</f>
        <v>45251587684</v>
      </c>
    </row>
    <row r="105" spans="1:26" ht="21" customHeight="1" thickTop="1" x14ac:dyDescent="0.25">
      <c r="A105" s="14" t="s">
        <v>161</v>
      </c>
      <c r="B105" s="1">
        <f t="shared" ref="B105:R105" si="67">(B22*(1-$Z$92))+B77+B88+B81</f>
        <v>517463.38912133873</v>
      </c>
      <c r="C105" s="1">
        <f t="shared" si="67"/>
        <v>17273672.594142258</v>
      </c>
      <c r="D105" s="1">
        <f t="shared" si="67"/>
        <v>26952233.263598327</v>
      </c>
      <c r="E105" s="1">
        <f t="shared" si="67"/>
        <v>42816500</v>
      </c>
      <c r="F105" s="1">
        <f t="shared" si="67"/>
        <v>101011469.66527197</v>
      </c>
      <c r="G105" s="1">
        <f t="shared" si="67"/>
        <v>141024129.70711297</v>
      </c>
      <c r="H105" s="1">
        <f t="shared" si="67"/>
        <v>159699919.45606697</v>
      </c>
      <c r="I105" s="1">
        <f t="shared" si="67"/>
        <v>105456353.55648535</v>
      </c>
      <c r="J105" s="1">
        <f t="shared" si="67"/>
        <v>124605313.80753139</v>
      </c>
      <c r="K105" s="1">
        <f t="shared" si="67"/>
        <v>145660586.82008368</v>
      </c>
      <c r="L105" s="1">
        <f t="shared" si="67"/>
        <v>158043464.43514645</v>
      </c>
      <c r="M105" s="1">
        <f t="shared" si="67"/>
        <v>390432410.04184103</v>
      </c>
      <c r="N105" s="1">
        <f t="shared" si="67"/>
        <v>224909414.22594142</v>
      </c>
      <c r="O105" s="1">
        <f t="shared" si="67"/>
        <v>440638702.92887032</v>
      </c>
      <c r="P105" s="1">
        <f t="shared" si="67"/>
        <v>647455439.33054399</v>
      </c>
      <c r="Q105" s="1">
        <f t="shared" si="67"/>
        <v>820209623.43096232</v>
      </c>
      <c r="R105" s="1">
        <f t="shared" si="67"/>
        <v>989708158.99581587</v>
      </c>
      <c r="S105" s="72">
        <f>S107/S3</f>
        <v>0.24703703703703703</v>
      </c>
      <c r="T105" s="72">
        <f t="shared" ref="T105:W105" si="68">T107/T3</f>
        <v>0.25265625000000003</v>
      </c>
      <c r="U105" s="72">
        <f t="shared" si="68"/>
        <v>0.26145695364238408</v>
      </c>
      <c r="V105" s="72">
        <f t="shared" si="68"/>
        <v>0.27108167770419428</v>
      </c>
      <c r="W105" s="72">
        <f t="shared" si="68"/>
        <v>0.27291866028708134</v>
      </c>
      <c r="X105" s="73" t="s">
        <v>165</v>
      </c>
      <c r="Y105" s="76" t="s">
        <v>138</v>
      </c>
      <c r="Z105" s="76"/>
    </row>
    <row r="106" spans="1:26" ht="20" x14ac:dyDescent="0.25">
      <c r="A106" s="14" t="s">
        <v>162</v>
      </c>
      <c r="B106" s="1"/>
      <c r="C106" s="15">
        <f t="shared" ref="C106:R106" si="69">(C107/B107)-1</f>
        <v>10.53960396039604</v>
      </c>
      <c r="D106" s="15">
        <f t="shared" si="69"/>
        <v>0.36063336063336071</v>
      </c>
      <c r="E106" s="15">
        <f t="shared" si="69"/>
        <v>0.64474891080027508</v>
      </c>
      <c r="F106" s="15">
        <f t="shared" si="69"/>
        <v>0.73585793454393356</v>
      </c>
      <c r="G106" s="15">
        <f t="shared" si="69"/>
        <v>0.29727830373367325</v>
      </c>
      <c r="H106" s="15">
        <f t="shared" si="69"/>
        <v>0.25201597300685652</v>
      </c>
      <c r="I106" s="15">
        <f t="shared" si="69"/>
        <v>-0.17477732518249756</v>
      </c>
      <c r="J106" s="15">
        <f t="shared" si="69"/>
        <v>0.23128375291183234</v>
      </c>
      <c r="K106" s="15">
        <f t="shared" si="69"/>
        <v>0.49155336557471796</v>
      </c>
      <c r="L106" s="15">
        <f t="shared" si="69"/>
        <v>0.135964500854443</v>
      </c>
      <c r="M106" s="15">
        <f t="shared" si="69"/>
        <v>0.64829495271536586</v>
      </c>
      <c r="N106" s="15">
        <f t="shared" si="69"/>
        <v>0.27621200933144263</v>
      </c>
      <c r="O106" s="15">
        <f t="shared" si="69"/>
        <v>0.22171018945212495</v>
      </c>
      <c r="P106" s="15">
        <f t="shared" si="69"/>
        <v>0.33808326348141948</v>
      </c>
      <c r="Q106" s="15">
        <f t="shared" si="69"/>
        <v>0.25683858843182295</v>
      </c>
      <c r="R106" s="15">
        <f t="shared" si="69"/>
        <v>0.20368832031898987</v>
      </c>
      <c r="S106" s="53">
        <f>(S107/R107)-1</f>
        <v>-7.9365079365079416E-2</v>
      </c>
      <c r="T106" s="53">
        <f>(T107/S107)-1</f>
        <v>0.21214392803598203</v>
      </c>
      <c r="U106" s="53">
        <f>(U107/T107)-1</f>
        <v>0.22077922077922074</v>
      </c>
      <c r="V106" s="53">
        <f>(V107/U107)-1</f>
        <v>0.24417426545086118</v>
      </c>
      <c r="W106" s="53">
        <f>(W107/V107)-1</f>
        <v>0.16123778501628672</v>
      </c>
      <c r="X106" s="54">
        <f>SUM(S106:W106)/5</f>
        <v>0.15179402398345426</v>
      </c>
      <c r="Y106" s="35" t="s">
        <v>139</v>
      </c>
      <c r="Z106" s="55">
        <f>(Z101*Z93)+(Z103*Z98)</f>
        <v>8.7105976584910275E-2</v>
      </c>
    </row>
    <row r="107" spans="1:26" ht="19" x14ac:dyDescent="0.25">
      <c r="A107" s="32" t="s">
        <v>163</v>
      </c>
      <c r="B107" s="1">
        <v>2222000</v>
      </c>
      <c r="C107" s="1">
        <v>25641000</v>
      </c>
      <c r="D107" s="1">
        <v>34888000</v>
      </c>
      <c r="E107" s="1">
        <v>57382000</v>
      </c>
      <c r="F107" s="1">
        <v>99607000</v>
      </c>
      <c r="G107" s="1">
        <v>129218000</v>
      </c>
      <c r="H107" s="1">
        <v>161783000</v>
      </c>
      <c r="I107" s="1">
        <v>133507000</v>
      </c>
      <c r="J107" s="1">
        <v>164385000</v>
      </c>
      <c r="K107" s="1">
        <v>245189000</v>
      </c>
      <c r="L107" s="1">
        <v>278526000</v>
      </c>
      <c r="M107" s="1">
        <v>459093000</v>
      </c>
      <c r="N107" s="1">
        <v>585900000</v>
      </c>
      <c r="O107" s="1">
        <v>715800000</v>
      </c>
      <c r="P107" s="1">
        <v>957800000</v>
      </c>
      <c r="Q107" s="1">
        <v>1203800000</v>
      </c>
      <c r="R107" s="1">
        <v>1449000000</v>
      </c>
      <c r="S107" s="56">
        <v>1334000000</v>
      </c>
      <c r="T107" s="56">
        <v>1617000000</v>
      </c>
      <c r="U107" s="56">
        <v>1974000000</v>
      </c>
      <c r="V107" s="56">
        <v>2456000000</v>
      </c>
      <c r="W107" s="56">
        <v>2852000000</v>
      </c>
      <c r="X107" s="52" t="s">
        <v>164</v>
      </c>
      <c r="Y107" s="57" t="s">
        <v>140</v>
      </c>
      <c r="Z107" s="36">
        <f>(SUM(S4:W4)/5)</f>
        <v>0.17223029231928236</v>
      </c>
    </row>
    <row r="108" spans="1:26" ht="19" x14ac:dyDescent="0.2">
      <c r="S108" s="52"/>
      <c r="T108" s="52"/>
      <c r="U108" s="52"/>
      <c r="V108" s="52"/>
      <c r="W108" s="58">
        <f>W107*(1+Z108)/(Z109-Z108)</f>
        <v>47069544039.828629</v>
      </c>
      <c r="X108" s="59" t="s">
        <v>141</v>
      </c>
      <c r="Y108" s="60" t="s">
        <v>142</v>
      </c>
      <c r="Z108" s="37">
        <v>2.5000000000000001E-2</v>
      </c>
    </row>
    <row r="109" spans="1:26" ht="19" x14ac:dyDescent="0.2">
      <c r="S109" s="58">
        <f t="shared" ref="S109:U109" si="70">S108+S107</f>
        <v>1334000000</v>
      </c>
      <c r="T109" s="58">
        <f t="shared" si="70"/>
        <v>1617000000</v>
      </c>
      <c r="U109" s="58">
        <f t="shared" si="70"/>
        <v>1974000000</v>
      </c>
      <c r="V109" s="58">
        <f>V108+V107</f>
        <v>2456000000</v>
      </c>
      <c r="W109" s="58">
        <f>W108+W107</f>
        <v>49921544039.828629</v>
      </c>
      <c r="X109" s="59" t="s">
        <v>137</v>
      </c>
      <c r="Y109" s="61" t="s">
        <v>143</v>
      </c>
      <c r="Z109" s="36">
        <f>Z106</f>
        <v>8.7105976584910275E-2</v>
      </c>
    </row>
    <row r="110" spans="1:26" ht="19" x14ac:dyDescent="0.2">
      <c r="S110" s="77" t="s">
        <v>144</v>
      </c>
      <c r="T110" s="77"/>
      <c r="U110" s="44"/>
      <c r="V110" s="44"/>
      <c r="W110" s="44"/>
      <c r="X110" s="44"/>
      <c r="Y110" s="44"/>
      <c r="Z110" s="44"/>
    </row>
    <row r="111" spans="1:26" ht="20" x14ac:dyDescent="0.2">
      <c r="S111" s="62" t="s">
        <v>145</v>
      </c>
      <c r="T111" s="50">
        <f>NPV(Z109,S109,T109,U109,V109,W109)</f>
        <v>38770110249.935539</v>
      </c>
      <c r="U111" s="44"/>
      <c r="V111" s="44"/>
      <c r="W111" s="44"/>
      <c r="X111" s="44"/>
      <c r="Y111" s="44"/>
      <c r="Z111" s="44"/>
    </row>
    <row r="112" spans="1:26" ht="20" x14ac:dyDescent="0.2">
      <c r="S112" s="62" t="s">
        <v>146</v>
      </c>
      <c r="T112" s="50">
        <f>Q40</f>
        <v>2551700000</v>
      </c>
      <c r="U112" s="44"/>
      <c r="V112" s="44"/>
      <c r="W112" s="44"/>
      <c r="X112" s="44"/>
      <c r="Y112" s="44"/>
      <c r="Z112" s="44"/>
    </row>
    <row r="113" spans="19:26" ht="20" x14ac:dyDescent="0.2">
      <c r="S113" s="62" t="s">
        <v>134</v>
      </c>
      <c r="T113" s="50">
        <f>Z100</f>
        <v>990000000</v>
      </c>
      <c r="U113" s="44"/>
      <c r="V113" s="44"/>
      <c r="W113" s="44"/>
      <c r="X113" s="44"/>
      <c r="Y113" s="44"/>
      <c r="Z113" s="44"/>
    </row>
    <row r="114" spans="19:26" ht="20" x14ac:dyDescent="0.2">
      <c r="S114" s="62" t="s">
        <v>147</v>
      </c>
      <c r="T114" s="50">
        <f>T111+T112-T113</f>
        <v>40331810249.935539</v>
      </c>
      <c r="U114" s="44"/>
      <c r="V114" s="44"/>
      <c r="W114" s="44"/>
      <c r="X114" s="44"/>
      <c r="Y114" s="44"/>
      <c r="Z114" s="44"/>
    </row>
    <row r="115" spans="19:26" ht="20" x14ac:dyDescent="0.2">
      <c r="S115" s="62" t="s">
        <v>148</v>
      </c>
      <c r="T115" s="62">
        <f>Q34*(1+(5*X16))</f>
        <v>738796165.28364182</v>
      </c>
      <c r="U115" s="44"/>
      <c r="V115" s="44"/>
      <c r="W115" s="44"/>
      <c r="X115" s="44"/>
      <c r="Y115" s="44"/>
      <c r="Z115" s="44"/>
    </row>
    <row r="116" spans="19:26" ht="20" x14ac:dyDescent="0.2">
      <c r="S116" s="63" t="s">
        <v>149</v>
      </c>
      <c r="T116" s="64">
        <f>T114/T115</f>
        <v>54.591255538597949</v>
      </c>
      <c r="U116" s="44"/>
      <c r="V116" s="44"/>
      <c r="W116" s="44"/>
      <c r="X116" s="44"/>
      <c r="Y116" s="44"/>
      <c r="Z116" s="44"/>
    </row>
    <row r="117" spans="19:26" ht="20" x14ac:dyDescent="0.2">
      <c r="S117" s="62" t="s">
        <v>150</v>
      </c>
      <c r="T117" s="65" cm="1">
        <f t="array" ref="T117">_FV(A1,"Price",TRUE)</f>
        <v>56.36</v>
      </c>
      <c r="U117" s="44"/>
      <c r="V117" s="44"/>
      <c r="W117" s="44"/>
      <c r="X117" s="44"/>
      <c r="Y117" s="44"/>
      <c r="Z117" s="44"/>
    </row>
    <row r="118" spans="19:26" ht="20" x14ac:dyDescent="0.2">
      <c r="S118" s="63" t="s">
        <v>151</v>
      </c>
      <c r="T118" s="66">
        <f>T116/T117-1</f>
        <v>-3.138297482970287E-2</v>
      </c>
      <c r="U118" s="44"/>
      <c r="V118" s="44"/>
      <c r="W118" s="44"/>
      <c r="X118" s="44"/>
      <c r="Y118" s="44"/>
      <c r="Z118" s="44"/>
    </row>
    <row r="119" spans="19:26" ht="20" x14ac:dyDescent="0.2">
      <c r="S119" s="63" t="s">
        <v>152</v>
      </c>
      <c r="T119" s="67" t="str">
        <f>IF(T116&gt;T117,"BUY","SELL")</f>
        <v>SELL</v>
      </c>
      <c r="U119" s="44"/>
      <c r="V119" s="44"/>
      <c r="W119" s="44"/>
      <c r="X119" s="44"/>
      <c r="Y119" s="44"/>
      <c r="Z119" s="44"/>
    </row>
  </sheetData>
  <mergeCells count="7">
    <mergeCell ref="Y84:Z84"/>
    <mergeCell ref="Y85:Z85"/>
    <mergeCell ref="S110:T110"/>
    <mergeCell ref="S104:W104"/>
    <mergeCell ref="Y105:Z105"/>
    <mergeCell ref="Y99:Z99"/>
    <mergeCell ref="Y94:Z9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S1" r:id="rId34" display="https://finbox.com/NASDAQGS:FTNT/explorer/revenue_proj" xr:uid="{448FFEC3-4D0B-0F4C-AAA0-896B489860AF}"/>
    <hyperlink ref="X107" r:id="rId35" xr:uid="{C87FCAED-5E83-CF46-B2EF-45262257DC86}"/>
    <hyperlink ref="R36" r:id="rId36" tooltip="https://www.sec.gov/Archives/edgar/data/1262039/000126203922000008/0001262039-22-000008-index.htm" xr:uid="{235A1489-6A6F-D740-977E-DDDF33087BB4}"/>
    <hyperlink ref="R74" r:id="rId37" tooltip="https://www.sec.gov/Archives/edgar/data/1262039/000126203922000008/0001262039-22-000008-index.htm" xr:uid="{CACA8201-1FB6-9C4E-BC8F-B0CD5B1CEC1E}"/>
  </hyperlinks>
  <pageMargins left="0.7" right="0.7" top="0.75" bottom="0.75" header="0.3" footer="0.3"/>
  <drawing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2023-02-12T23:32:12Z</dcterms:created>
  <dcterms:modified xsi:type="dcterms:W3CDTF">2023-10-21T10:49:40Z</dcterms:modified>
</cp:coreProperties>
</file>