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266268C-31F3-054A-BB28-59DCA4CE243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05" i="1" l="1"/>
  <c r="AP105" i="1"/>
  <c r="AO105" i="1"/>
  <c r="AN105" i="1"/>
  <c r="AM105" i="1"/>
  <c r="AU7" i="1"/>
  <c r="AT7" i="1"/>
  <c r="AS7" i="1"/>
  <c r="AM34" i="1" a="1"/>
  <c r="AM34" i="1" s="1"/>
  <c r="AM35" i="1" s="1"/>
  <c r="AM33" i="1" a="1"/>
  <c r="AM33" i="1" s="1"/>
  <c r="AS22" i="1"/>
  <c r="AM3" i="1"/>
  <c r="AQ106" i="1"/>
  <c r="AP106" i="1"/>
  <c r="AO106" i="1"/>
  <c r="AN106" i="1"/>
  <c r="AN21" i="1" l="1"/>
  <c r="AO21" i="1"/>
  <c r="AP21" i="1"/>
  <c r="AQ21" i="1"/>
  <c r="AM21" i="1"/>
  <c r="AN30" i="1"/>
  <c r="AO30" i="1"/>
  <c r="AP30" i="1"/>
  <c r="AQ30" i="1"/>
  <c r="AM30" i="1"/>
  <c r="AM20" i="1" l="1"/>
  <c r="AN20" i="1"/>
  <c r="AO20" i="1"/>
  <c r="AP20" i="1"/>
  <c r="AQ20" i="1"/>
  <c r="AN117" i="1" l="1" a="1"/>
  <c r="AN117" i="1" s="1"/>
  <c r="AM29" i="1"/>
  <c r="AN29" i="1"/>
  <c r="AO29" i="1"/>
  <c r="AP29" i="1"/>
  <c r="AQ29" i="1"/>
  <c r="AT96" i="1" a="1"/>
  <c r="AT96" i="1" s="1"/>
  <c r="AT102" i="1" a="1"/>
  <c r="AT102" i="1" s="1"/>
  <c r="AU22" i="1" s="1"/>
  <c r="AN115" i="1"/>
  <c r="AR19" i="1"/>
  <c r="AR16" i="1"/>
  <c r="AU13" i="1"/>
  <c r="AT13" i="1"/>
  <c r="AS13" i="1"/>
  <c r="AR13" i="1"/>
  <c r="AU10" i="1"/>
  <c r="AT10" i="1"/>
  <c r="AS10" i="1"/>
  <c r="AR10" i="1"/>
  <c r="AR7" i="1"/>
  <c r="AT4" i="1"/>
  <c r="AS4" i="1"/>
  <c r="AR4" i="1"/>
  <c r="AT19" i="1" l="1"/>
  <c r="AT22" i="1"/>
  <c r="AS19" i="1"/>
  <c r="AU16" i="1"/>
  <c r="AT16" i="1"/>
  <c r="AS16" i="1"/>
  <c r="AN112" i="1"/>
  <c r="AT92" i="1"/>
  <c r="AT91" i="1"/>
  <c r="AT90" i="1"/>
  <c r="AT88" i="1"/>
  <c r="AT87" i="1"/>
  <c r="AT89" i="1" s="1"/>
  <c r="AT86"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6" i="1"/>
  <c r="AB106" i="1"/>
  <c r="AC106" i="1"/>
  <c r="AD106" i="1"/>
  <c r="AE106" i="1"/>
  <c r="AF106" i="1"/>
  <c r="AG106" i="1"/>
  <c r="AH106" i="1"/>
  <c r="AI106" i="1"/>
  <c r="AJ106" i="1"/>
  <c r="AK106" i="1"/>
  <c r="AL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E105" i="1" l="1"/>
  <c r="M105" i="1"/>
  <c r="U105" i="1"/>
  <c r="AC105" i="1"/>
  <c r="AL105" i="1"/>
  <c r="AM106" i="1" s="1"/>
  <c r="AR106" i="1" s="1"/>
  <c r="F105" i="1"/>
  <c r="N105" i="1"/>
  <c r="V105" i="1"/>
  <c r="AD105" i="1"/>
  <c r="AK105" i="1"/>
  <c r="G105" i="1"/>
  <c r="O105" i="1"/>
  <c r="W105" i="1"/>
  <c r="H105" i="1"/>
  <c r="P105" i="1"/>
  <c r="X105" i="1"/>
  <c r="AF105" i="1"/>
  <c r="I105" i="1"/>
  <c r="Q105" i="1"/>
  <c r="Y105" i="1"/>
  <c r="AG105" i="1"/>
  <c r="B105" i="1"/>
  <c r="J105" i="1"/>
  <c r="R105" i="1"/>
  <c r="Z105" i="1"/>
  <c r="AH105" i="1"/>
  <c r="K105" i="1"/>
  <c r="S105" i="1"/>
  <c r="AA105" i="1"/>
  <c r="D105" i="1"/>
  <c r="T105" i="1"/>
  <c r="AJ105" i="1"/>
  <c r="AE105" i="1"/>
  <c r="C105" i="1"/>
  <c r="AI105" i="1"/>
  <c r="L105" i="1"/>
  <c r="AB105" i="1"/>
  <c r="AT93" i="1"/>
  <c r="AU4" i="1"/>
  <c r="AT107" i="1"/>
  <c r="AT100" i="1"/>
  <c r="AN113" i="1" s="1"/>
  <c r="AU19" i="1" l="1"/>
  <c r="AM109" i="1"/>
  <c r="AT104" i="1"/>
  <c r="AT103" i="1" s="1"/>
  <c r="AO109" i="1" l="1"/>
  <c r="AN109" i="1"/>
  <c r="AT101" i="1"/>
  <c r="AP109" i="1"/>
  <c r="AT95" i="1" l="1"/>
  <c r="AT98" i="1" s="1"/>
  <c r="AT106" i="1" s="1"/>
  <c r="AT109" i="1" s="1"/>
  <c r="AQ108" i="1" s="1"/>
  <c r="AQ109" i="1" s="1"/>
  <c r="AN111" i="1" s="1"/>
  <c r="AN114" i="1" s="1"/>
  <c r="AN116" i="1" s="1"/>
  <c r="AN118" i="1" l="1"/>
  <c r="AN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<sst xmlns="http://schemas.openxmlformats.org/spreadsheetml/2006/main" count="1086" uniqueCount="168">
  <si>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</si>
  <si>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</si>
  <si>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</si>
  <si>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</si>
  <si>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</si>
  <si>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</si>
  <si>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</si>
  <si>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</si>
  <si>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</si>
  <si>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</si>
  <si>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</si>
  <si>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</si>
  <si>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</si>
  <si>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</si>
  <si>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</si>
  <si>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</si>
  <si>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</si>
  <si>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</si>
  <si>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</si>
  <si>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</si>
  <si>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</si>
  <si>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</si>
  <si>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</si>
  <si>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</si>
  <si>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</si>
  <si>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</si>
  <si>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</si>
  <si>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</si>
  <si>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</si>
  <si>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</si>
  <si>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</si>
  <si>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</si>
  <si>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</si>
  <si>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</si>
  <si>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</si>
  <si>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</si>
  <si>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</si>
  <si>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</si>
  <si>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</si>
  <si>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</si>
  <si>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</si>
  <si>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</si>
  <si>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</si>
  <si>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</si>
  <si>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</si>
  <si>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</si>
  <si>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</si>
  <si>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</si>
  <si>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</si>
  <si>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</si>
  <si>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</si>
  <si>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</si>
  <si>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</si>
  <si>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</si>
  <si>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</si>
  <si>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</si>
  <si>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</si>
  <si>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</si>
  <si>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</si>
  <si>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</si>
  <si>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</si>
  <si>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</si>
  <si>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</si>
  <si>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</si>
  <si>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</si>
  <si>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</si>
  <si>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</si>
  <si>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</si>
  <si>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</si>
  <si>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</si>
  <si>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</si>
  <si>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</si>
  <si>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</si>
  <si>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</si>
  <si>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</si>
  <si>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</si>
  <si>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</si>
  <si>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</si>
  <si>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</si>
  <si>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</si>
  <si>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</si>
  <si>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</si>
  <si>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</si>
  <si>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</si>
  <si>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</si>
  <si>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</si>
  <si>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</si>
  <si>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</si>
  <si>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</si>
  <si>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</si>
  <si>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</si>
  <si>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</si>
  <si>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</si>
  <si>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</si>
  <si>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</si>
  <si>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</si>
  <si>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</si>
  <si>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</si>
  <si>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</si>
  <si>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</si>
  <si>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</si>
  <si>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</si>
  <si>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</si>
  <si>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</si>
  <si>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</si>
  <si>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</si>
  <si>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</si>
  <si>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</si>
  <si>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</si>
  <si>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</si>
  <si>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</si>
  <si>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</si>
  <si>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</si>
  <si>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</si>
  <si>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</si>
  <si>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</si>
  <si>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</si>
  <si>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</si>
  <si>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</si>
  <si>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</si>
  <si>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</si>
  <si>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</si>
  <si>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</si>
  <si>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</si>
  <si>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</si>
  <si>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</si>
  <si>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</si>
  <si>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</si>
  <si>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</si>
  <si>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</si>
  <si>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</si>
  <si>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</si>
  <si>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</si>
  <si>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</si>
  <si>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</si>
  <si>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</si>
  <si>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</si>
  <si>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</si>
  <si>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</si>
  <si>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</si>
  <si>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</si>
  <si>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</si>
  <si>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</si>
  <si>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</si>
  <si>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</si>
  <si>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</si>
  <si>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</si>
  <si>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</si>
  <si>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</si>
  <si>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</si>
  <si>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</si>
  <si>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</si>
  <si>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</si>
  <si>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</si>
  <si>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</si>
  <si>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</si>
  <si>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</si>
  <si>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</si>
  <si>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</si>
  <si>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</si>
  <si>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</si>
  <si>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Unlevered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</si>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</sst>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164" fontId="10" fillId="0" borderId="0" xfId="0" applyNumberFormat="1" applyFont="1"/>
    <xf numFmtId="0" fontId="16" fillId="0" borderId="4" xfId="0" applyFont="1" applyBorder="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6" fillId="0" borderId="3" xfId="0" applyNumberFormat="1" applyFont="1" applyBorder="1"/>
    <xf numFmtId="165" fontId="10" fillId="0" borderId="0" xfId="0" applyNumberFormat="1" applyFont="1"/>
    <xf numFmtId="0" fontId="1" fillId="0" borderId="0" xfId="0" applyFont="1" applyAlignment="1">
      <alignment indent="1"/>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70" fontId="11" fillId="0" borderId="7" xfId="0" applyNumberFormat="1" applyFont="1" applyBorder="1" applyAlignment="1">
      <alignment horizontal="center"/>
    </xf>
    <xf numFmtId="164" fontId="16" fillId="0" borderId="2" xfId="0" applyNumberFormat="1" applyFont="1" applyBorder="1"/>
    <xf numFmtId="166" fontId="10" fillId="0" borderId="0" xfId="0" applyNumberFormat="1" applyFont="1"/>
    <xf numFmtId="165" fontId="10" fillId="0" borderId="10" xfId="0" applyNumberFormat="1" applyFont="1" applyBorder="1"/>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5"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5" fillId="6" borderId="0" xfId="0" applyFont="1" applyFill="1" applyAlignment="1">
      <alignment vertical="center" wrapText="1"/>
    </xf>
    <xf numFmtId="0" fontId="15"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6" fillId="7"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Microsoft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487684729064039"/>
          <c:y val="0.15740360808550574"/>
          <c:w val="0.79448275862068951"/>
          <c:h val="0.5929077447854106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pt idx="37">
                  <c:v>211900000000</c:v>
                </c:pt>
                <c:pt idx="38">
                  <c:v>235100000000</c:v>
                </c:pt>
                <c:pt idx="39">
                  <c:v>264400000000</c:v>
                </c:pt>
                <c:pt idx="40">
                  <c:v>308800000000</c:v>
                </c:pt>
                <c:pt idx="41">
                  <c:v>323700000000</c:v>
                </c:pt>
              </c:numCache>
            </c:numRef>
          </c:val>
          <c:extLst>
            <c:ext xmlns:c16="http://schemas.microsoft.com/office/drawing/2014/chart" uri="{C3380CC4-5D6E-409C-BE32-E72D297353CC}">
              <c16:uniqueId val="{00000000-0AD5-BA47-A49A-A473843AEA4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39300000</c:v>
                </c:pt>
                <c:pt idx="1">
                  <c:v>71900000</c:v>
                </c:pt>
                <c:pt idx="2">
                  <c:v>123900000</c:v>
                </c:pt>
                <c:pt idx="3">
                  <c:v>170500000</c:v>
                </c:pt>
                <c:pt idx="4">
                  <c:v>279200000</c:v>
                </c:pt>
                <c:pt idx="5">
                  <c:v>462700000</c:v>
                </c:pt>
                <c:pt idx="6">
                  <c:v>708100000</c:v>
                </c:pt>
                <c:pt idx="7">
                  <c:v>953000000</c:v>
                </c:pt>
                <c:pt idx="8">
                  <c:v>1146000000</c:v>
                </c:pt>
                <c:pt idx="9">
                  <c:v>1453000000</c:v>
                </c:pt>
                <c:pt idx="10">
                  <c:v>2195000000</c:v>
                </c:pt>
                <c:pt idx="11">
                  <c:v>3454000000</c:v>
                </c:pt>
                <c:pt idx="12">
                  <c:v>4490000000</c:v>
                </c:pt>
                <c:pt idx="13">
                  <c:v>7785000000</c:v>
                </c:pt>
                <c:pt idx="14">
                  <c:v>9421000000</c:v>
                </c:pt>
                <c:pt idx="15">
                  <c:v>7346000000</c:v>
                </c:pt>
                <c:pt idx="16">
                  <c:v>7829000000</c:v>
                </c:pt>
                <c:pt idx="17">
                  <c:v>9993000000</c:v>
                </c:pt>
                <c:pt idx="18">
                  <c:v>8168000000</c:v>
                </c:pt>
                <c:pt idx="19">
                  <c:v>12254000000</c:v>
                </c:pt>
                <c:pt idx="20">
                  <c:v>12599000000</c:v>
                </c:pt>
                <c:pt idx="21">
                  <c:v>14065000000</c:v>
                </c:pt>
                <c:pt idx="22">
                  <c:v>17681000000</c:v>
                </c:pt>
                <c:pt idx="23">
                  <c:v>14569000000</c:v>
                </c:pt>
                <c:pt idx="24">
                  <c:v>18760000000</c:v>
                </c:pt>
                <c:pt idx="25">
                  <c:v>23150000000</c:v>
                </c:pt>
                <c:pt idx="26">
                  <c:v>16978000000</c:v>
                </c:pt>
                <c:pt idx="27">
                  <c:v>21863000000</c:v>
                </c:pt>
                <c:pt idx="28">
                  <c:v>22074000000</c:v>
                </c:pt>
                <c:pt idx="29">
                  <c:v>12193000000</c:v>
                </c:pt>
                <c:pt idx="30">
                  <c:v>16798000000</c:v>
                </c:pt>
                <c:pt idx="31">
                  <c:v>21204000000</c:v>
                </c:pt>
                <c:pt idx="32">
                  <c:v>16571000000</c:v>
                </c:pt>
                <c:pt idx="33">
                  <c:v>39240000000</c:v>
                </c:pt>
                <c:pt idx="34">
                  <c:v>44281000000</c:v>
                </c:pt>
                <c:pt idx="35">
                  <c:v>61271000000</c:v>
                </c:pt>
                <c:pt idx="36">
                  <c:v>72738000000</c:v>
                </c:pt>
                <c:pt idx="37">
                  <c:v>72361000000</c:v>
                </c:pt>
                <c:pt idx="38">
                  <c:v>81894000000</c:v>
                </c:pt>
                <c:pt idx="39">
                  <c:v>92916000000</c:v>
                </c:pt>
                <c:pt idx="40">
                  <c:v>109800000000</c:v>
                </c:pt>
                <c:pt idx="41">
                  <c:v>124100000000</c:v>
                </c:pt>
              </c:numCache>
            </c:numRef>
          </c:val>
          <c:extLst>
            <c:ext xmlns:c16="http://schemas.microsoft.com/office/drawing/2014/chart" uri="{C3380CC4-5D6E-409C-BE32-E72D297353CC}">
              <c16:uniqueId val="{00000001-0AD5-BA47-A49A-A473843AEA4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pt idx="37">
                  <c:v>58823000000</c:v>
                </c:pt>
                <c:pt idx="38">
                  <c:v>66878000000</c:v>
                </c:pt>
                <c:pt idx="39">
                  <c:v>81161000000</c:v>
                </c:pt>
                <c:pt idx="40">
                  <c:v>95302000000</c:v>
                </c:pt>
                <c:pt idx="41">
                  <c:v>130800000000</c:v>
                </c:pt>
              </c:numCache>
            </c:numRef>
          </c:val>
          <c:extLst>
            <c:ext xmlns:c16="http://schemas.microsoft.com/office/drawing/2014/chart" uri="{C3380CC4-5D6E-409C-BE32-E72D297353CC}">
              <c16:uniqueId val="{00000002-0AD5-BA47-A49A-A473843AEA42}"/>
            </c:ext>
          </c:extLst>
        </c:ser>
        <c:dLbls>
          <c:showLegendKey val="0"/>
          <c:showVal val="0"/>
          <c:showCatName val="0"/>
          <c:showSerName val="0"/>
          <c:showPercent val="0"/>
          <c:showBubbleSize val="0"/>
        </c:dLbls>
        <c:gapWidth val="150"/>
        <c:overlap val="100"/>
        <c:axId val="1870105728"/>
        <c:axId val="1851657808"/>
      </c:barChart>
      <c:catAx>
        <c:axId val="1870105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851657808"/>
        <c:crosses val="autoZero"/>
        <c:auto val="1"/>
        <c:lblAlgn val="ctr"/>
        <c:lblOffset val="100"/>
        <c:noMultiLvlLbl val="0"/>
      </c:catAx>
      <c:valAx>
        <c:axId val="18516578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0105728"/>
        <c:crosses val="autoZero"/>
        <c:crossBetween val="between"/>
      </c:valAx>
      <c:spPr>
        <a:noFill/>
        <a:ln>
          <a:noFill/>
        </a:ln>
        <a:effectLst/>
      </c:spPr>
    </c:plotArea>
    <c:legend>
      <c:legendPos val="b"/>
      <c:layout>
        <c:manualLayout>
          <c:xMode val="edge"/>
          <c:yMode val="edge"/>
          <c:x val="0.34676751612944939"/>
          <c:y val="0.88545701887262596"/>
          <c:w val="0.31171937990509807"/>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15874</xdr:colOff>
      <xdr:row>109</xdr:row>
      <xdr:rowOff>17463</xdr:rowOff>
    </xdr:from>
    <xdr:to>
      <xdr:col>46</xdr:col>
      <xdr:colOff>15874</xdr:colOff>
      <xdr:row>127</xdr:row>
      <xdr:rowOff>0</xdr:rowOff>
    </xdr:to>
    <xdr:graphicFrame macro="">
      <xdr:nvGraphicFramePr>
        <xdr:cNvPr id="4" name="Chart 3">
          <a:extLst>
            <a:ext uri="{FF2B5EF4-FFF2-40B4-BE49-F238E27FC236}">
              <a16:creationId xmlns:a16="http://schemas.microsoft.com/office/drawing/2014/main" id="{281ABB17-BF88-4C38-8233-24F05F480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366.78</v>
    <v>213.43100000000001</v>
    <v>0.89639999999999997</v>
    <v>-4.6500000000000004</v>
    <v>-1.4034999999999999E-2</v>
    <v>0.38</v>
    <v>1.163E-3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331.92</v>
    <v>3</v>
    <v>Software &amp; IT Services</v>
    <v>Stock</v>
    <v>45219.999919733593</v>
    <v>4</v>
    <v>325.45</v>
    <v>2427081005880</v>
    <v>MICROSOFT CORPORATION</v>
    <v>MICROSOFT CORPORATION</v>
    <v>331.72</v>
    <v>34.210700000000003</v>
    <v>331.32</v>
    <v>326.67</v>
    <v>327.05</v>
    <v>7429764000</v>
    <v>MSFT</v>
    <v>MICROSOFT CORPORATION (XNAS:MSFT)</v>
    <v>25027715</v>
    <v>22056928</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hyperlink" Target="https://finbox.com/NASDAQGS:MSFT/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I91" activePane="bottomRight" state="frozen"/>
      <selection pane="topRight"/>
      <selection pane="bottomLeft"/>
      <selection pane="bottomRight" activeCell="AL111" sqref="AL111"/>
    </sheetView>
  </sheetViews>
  <sheetFormatPr baseColWidth="10" defaultRowHeight="16" x14ac:dyDescent="0.2"/>
  <cols>
    <col min="1" max="1" width="50" customWidth="1"/>
    <col min="2" max="38" width="15" customWidth="1"/>
    <col min="39" max="43" width="21.1640625" customWidth="1"/>
    <col min="44"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1">
        <v>2023</v>
      </c>
      <c r="AN1" s="21">
        <v>2024</v>
      </c>
      <c r="AO1" s="21">
        <v>2025</v>
      </c>
      <c r="AP1" s="21">
        <v>2026</v>
      </c>
      <c r="AQ1" s="21">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f>211900000000</f>
        <v>211900000000</v>
      </c>
      <c r="AN3" s="20">
        <v>235100000000</v>
      </c>
      <c r="AO3" s="20">
        <v>264400000000</v>
      </c>
      <c r="AP3" s="20">
        <v>308800000000</v>
      </c>
      <c r="AQ3" s="20">
        <v>323700000000</v>
      </c>
      <c r="AR3" s="22" t="s">
        <v>108</v>
      </c>
      <c r="AS3" s="23" t="s">
        <v>109</v>
      </c>
      <c r="AT3" s="23" t="s">
        <v>110</v>
      </c>
      <c r="AU3" s="23" t="s">
        <v>111</v>
      </c>
    </row>
    <row r="4" spans="1:47" ht="19" x14ac:dyDescent="0.25">
      <c r="A4" s="14" t="s">
        <v>93</v>
      </c>
      <c r="B4" s="1"/>
      <c r="C4" s="42">
        <f>(C3/B3)-1</f>
        <v>0.75139240506329119</v>
      </c>
      <c r="D4" s="42">
        <f>(D3/C3)-1</f>
        <v>0.70800809482509397</v>
      </c>
      <c r="E4" s="42">
        <f>(E3/D3)-1</f>
        <v>0.36002031144211233</v>
      </c>
      <c r="F4" s="42">
        <f t="shared" ref="F4:AE4" si="0">(F3/E3)-1</f>
        <v>0.47280647168637202</v>
      </c>
      <c r="G4" s="42">
        <f t="shared" si="0"/>
        <v>0.5577150583065742</v>
      </c>
      <c r="H4" s="42">
        <f t="shared" si="0"/>
        <v>0.49652815449712495</v>
      </c>
      <c r="I4" s="42">
        <f t="shared" si="0"/>
        <v>0.36042338782759997</v>
      </c>
      <c r="J4" s="42">
        <f t="shared" si="0"/>
        <v>0.23874233946176382</v>
      </c>
      <c r="K4" s="42">
        <f t="shared" si="0"/>
        <v>0.27704882770488282</v>
      </c>
      <c r="L4" s="42">
        <f t="shared" si="0"/>
        <v>0.46050193700522146</v>
      </c>
      <c r="M4" s="42">
        <f t="shared" si="0"/>
        <v>0.30988351977857231</v>
      </c>
      <c r="N4" s="42">
        <f t="shared" si="0"/>
        <v>0.27522451135763348</v>
      </c>
      <c r="O4" s="42">
        <f t="shared" si="0"/>
        <v>0.36336647334990335</v>
      </c>
      <c r="P4" s="42">
        <f t="shared" si="0"/>
        <v>0.16250569706790907</v>
      </c>
      <c r="Q4" s="42">
        <f t="shared" si="0"/>
        <v>0.10193413486670155</v>
      </c>
      <c r="R4" s="42">
        <f t="shared" si="0"/>
        <v>0.12132352941176472</v>
      </c>
      <c r="S4" s="42">
        <f t="shared" si="0"/>
        <v>0.13474352194606021</v>
      </c>
      <c r="T4" s="42">
        <f t="shared" si="0"/>
        <v>0.14440612669711372</v>
      </c>
      <c r="U4" s="42">
        <f t="shared" si="0"/>
        <v>8.0168318175648068E-2</v>
      </c>
      <c r="V4" s="42">
        <f t="shared" si="0"/>
        <v>0.11294862772695291</v>
      </c>
      <c r="W4" s="42">
        <f t="shared" si="0"/>
        <v>0.15446456799602548</v>
      </c>
      <c r="X4" s="42">
        <f t="shared" si="0"/>
        <v>0.18187864324556946</v>
      </c>
      <c r="Y4" s="42">
        <f t="shared" si="0"/>
        <v>-3.2820258192651441E-2</v>
      </c>
      <c r="Z4" s="42">
        <f t="shared" si="0"/>
        <v>6.9254068484008391E-2</v>
      </c>
      <c r="AA4" s="42">
        <f t="shared" si="0"/>
        <v>0.11937455988733126</v>
      </c>
      <c r="AB4" s="42">
        <f t="shared" si="0"/>
        <v>5.4044007263057026E-2</v>
      </c>
      <c r="AC4" s="42">
        <f t="shared" si="0"/>
        <v>5.5966252051598442E-2</v>
      </c>
      <c r="AD4" s="42">
        <f t="shared" si="0"/>
        <v>0.11540289534868786</v>
      </c>
      <c r="AE4" s="42">
        <f t="shared" si="0"/>
        <v>7.7700874091647165E-2</v>
      </c>
      <c r="AF4" s="42">
        <f t="shared" ref="AF4" si="1">(AF3/AE3)-1</f>
        <v>-8.8266723658901425E-2</v>
      </c>
      <c r="AG4" s="42">
        <f t="shared" ref="AG4" si="2">(AG3/AF3)-1</f>
        <v>5.4266291608063844E-2</v>
      </c>
      <c r="AH4" s="42">
        <f t="shared" ref="AH4" si="3">(AH3/AG3)-1</f>
        <v>0.22690383546414683</v>
      </c>
      <c r="AI4" s="42">
        <f t="shared" ref="AI4" si="4">(AI3/AH3)-1</f>
        <v>0.14029539688292858</v>
      </c>
      <c r="AJ4" s="42">
        <f t="shared" ref="AJ4" si="5">(AJ3/AI3)-1</f>
        <v>0.13645574247276371</v>
      </c>
      <c r="AK4" s="42">
        <f t="shared" ref="AK4" si="6">(AK3/AJ3)-1</f>
        <v>0.17531727441177503</v>
      </c>
      <c r="AL4" s="42">
        <f t="shared" ref="AL4:AQ4" si="7">(AL3/AK3)-1</f>
        <v>0.17956070629670173</v>
      </c>
      <c r="AM4" s="16">
        <f t="shared" si="7"/>
        <v>6.8744641145912055E-2</v>
      </c>
      <c r="AN4" s="16">
        <f t="shared" si="7"/>
        <v>0.10948560641812177</v>
      </c>
      <c r="AO4" s="16">
        <f t="shared" si="7"/>
        <v>0.12462781794980859</v>
      </c>
      <c r="AP4" s="16">
        <f t="shared" si="7"/>
        <v>0.16792738275340402</v>
      </c>
      <c r="AQ4" s="16">
        <f t="shared" si="7"/>
        <v>4.8251295336787514E-2</v>
      </c>
      <c r="AR4" s="24">
        <f>(AL4+AK4+AJ4)/3</f>
        <v>0.16377790772708015</v>
      </c>
      <c r="AS4" s="24">
        <f>(AL20+AK20+AJ20)/3</f>
        <v>0.20007529474142496</v>
      </c>
      <c r="AT4" s="24">
        <f>(AL29+AK29+AJ29)/3</f>
        <v>0.23310133884414527</v>
      </c>
      <c r="AU4" s="24">
        <f>(AL106+AK106+AJ106)/3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22" t="s">
        <v>112</v>
      </c>
      <c r="AS6" s="67" t="s">
        <v>113</v>
      </c>
      <c r="AT6" s="67" t="s">
        <v>114</v>
      </c>
      <c r="AU6" s="67" t="s">
        <v>115</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24">
        <f>AL7</f>
        <v>0.68400000000000005</v>
      </c>
      <c r="AS7" s="25">
        <f>AM21</f>
        <v>0.48890986314299195</v>
      </c>
      <c r="AT7" s="25">
        <f>AM30</f>
        <v>0.34148655025955638</v>
      </c>
      <c r="AU7" s="25">
        <f>AM107/AM3</f>
        <v>0.27759792354884377</v>
      </c>
    </row>
    <row r="8" spans="1:47" ht="19" x14ac:dyDescent="0.25">
      <c r="A8" s="5" t="s">
        <v>5</v>
      </c>
      <c r="B8" s="1" t="s">
        <v>91</v>
      </c>
      <c r="C8" s="1" t="s">
        <v>91</v>
      </c>
      <c r="D8" s="1" t="s">
        <v>91</v>
      </c>
      <c r="E8" s="1" t="s">
        <v>91</v>
      </c>
      <c r="F8" s="1" t="s">
        <v>91</v>
      </c>
      <c r="G8" s="1" t="s">
        <v>91</v>
      </c>
      <c r="H8" s="1" t="s">
        <v>91</v>
      </c>
      <c r="I8" s="1" t="s">
        <v>91</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94</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22" t="s">
        <v>95</v>
      </c>
      <c r="AS9" s="23" t="s">
        <v>96</v>
      </c>
      <c r="AT9" s="23" t="s">
        <v>97</v>
      </c>
      <c r="AU9" s="23"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24">
        <f>AL9</f>
        <v>0.12362939426035205</v>
      </c>
      <c r="AS10" s="25">
        <f>AL13</f>
        <v>0.13983456902204064</v>
      </c>
      <c r="AT10" s="25">
        <f>AL80</f>
        <v>3.7837292580824126E-2</v>
      </c>
      <c r="AU10" s="25">
        <f>AL89</f>
        <v>0.12047208352246935</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22" t="s">
        <v>116</v>
      </c>
      <c r="AS12" s="23" t="s">
        <v>117</v>
      </c>
      <c r="AT12" s="23" t="s">
        <v>118</v>
      </c>
      <c r="AU12" s="23" t="s">
        <v>119</v>
      </c>
    </row>
    <row r="13" spans="1:47" ht="19" x14ac:dyDescent="0.25">
      <c r="A13" s="14" t="s">
        <v>99</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24">
        <f>AL28/AL72</f>
        <v>0.43675469250999749</v>
      </c>
      <c r="AS13" s="25">
        <f>AL28/AL54</f>
        <v>0.19936958666812848</v>
      </c>
      <c r="AT13" s="25">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22" t="s">
        <v>120</v>
      </c>
      <c r="AS15" s="23" t="s">
        <v>153</v>
      </c>
      <c r="AT15" s="23" t="s">
        <v>154</v>
      </c>
      <c r="AU15" s="23" t="s">
        <v>155</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27">
        <f>AT102/AL3</f>
        <v>12.241292206990467</v>
      </c>
      <c r="AT16" s="27">
        <f>AT102/AL28</f>
        <v>33.367442133135363</v>
      </c>
      <c r="AU16" s="28">
        <f>AT102/AL107</f>
        <v>37.254309442662205</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22" t="s">
        <v>156</v>
      </c>
      <c r="AS18" s="23" t="s">
        <v>157</v>
      </c>
      <c r="AT18" s="23" t="s">
        <v>158</v>
      </c>
      <c r="AU18" s="23"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M19" s="38">
        <v>103600000000</v>
      </c>
      <c r="AN19" s="38">
        <v>116700000000</v>
      </c>
      <c r="AO19" s="38">
        <v>132700000000</v>
      </c>
      <c r="AP19" s="38">
        <v>164500000000</v>
      </c>
      <c r="AQ19" s="38">
        <v>191800000000</v>
      </c>
      <c r="AR19" s="26">
        <f>AL40-AL56-AL61</f>
        <v>43479000000</v>
      </c>
      <c r="AS19" s="27">
        <f>AT102/AM3</f>
        <v>11.453898092873997</v>
      </c>
      <c r="AT19" s="27">
        <f>AT102/AM28</f>
        <v>33.541286133138016</v>
      </c>
      <c r="AU19" s="28">
        <f>AT102/AM107</f>
        <v>41.26074844669602</v>
      </c>
    </row>
    <row r="20" spans="1:47" ht="19" customHeight="1" x14ac:dyDescent="0.25">
      <c r="A20" s="14" t="s">
        <v>100</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M20" s="16">
        <f t="shared" ref="AM20" si="23">(AM19/AL19)-1</f>
        <v>3.352986362593402E-2</v>
      </c>
      <c r="AN20" s="16">
        <f t="shared" ref="AN20" si="24">(AN19/AM19)-1</f>
        <v>0.12644787644787647</v>
      </c>
      <c r="AO20" s="16">
        <f t="shared" ref="AO20" si="25">(AO19/AN19)-1</f>
        <v>0.13710368466152523</v>
      </c>
      <c r="AP20" s="16">
        <f t="shared" ref="AP20" si="26">(AP19/AO19)-1</f>
        <v>0.23963828183873392</v>
      </c>
      <c r="AQ20" s="16">
        <f t="shared" ref="AQ20" si="27">(AQ19/AP19)-1</f>
        <v>0.16595744680851054</v>
      </c>
      <c r="AT20" s="15"/>
      <c r="AU20" s="15"/>
    </row>
    <row r="21" spans="1:47" ht="20" customHeight="1"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c r="AM21" s="40">
        <f>AM19/AM3</f>
        <v>0.48890986314299195</v>
      </c>
      <c r="AN21" s="40">
        <f t="shared" ref="AN21:AQ21" si="28">AN19/AN3</f>
        <v>0.49638451722671206</v>
      </c>
      <c r="AO21" s="40">
        <f t="shared" si="28"/>
        <v>0.50189107413010592</v>
      </c>
      <c r="AP21" s="40">
        <f t="shared" si="28"/>
        <v>0.53270725388601037</v>
      </c>
      <c r="AQ21" s="40">
        <f t="shared" si="28"/>
        <v>0.59252394192153224</v>
      </c>
      <c r="AS21" s="43" t="s">
        <v>167</v>
      </c>
      <c r="AT21" s="22" t="s">
        <v>164</v>
      </c>
      <c r="AU21" s="23" t="s">
        <v>166</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c r="AS22" s="24">
        <f>SUM(AM29:AQ29)/5</f>
        <v>0.11461943491632776</v>
      </c>
      <c r="AT22" s="41">
        <f>AL98/AT102*-1</f>
        <v>7.4719384956929754E-3</v>
      </c>
      <c r="AU22" s="37">
        <f>AM107/AT102</f>
        <v>2.4236109078144354E-2</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c r="AM28" s="29">
        <v>72361000000</v>
      </c>
      <c r="AN28" s="29">
        <v>81894000000</v>
      </c>
      <c r="AO28" s="29">
        <v>92916000000</v>
      </c>
      <c r="AP28" s="29">
        <v>109800000000</v>
      </c>
      <c r="AQ28" s="29">
        <v>124100000000</v>
      </c>
    </row>
    <row r="29" spans="1:47" ht="20" customHeight="1" thickTop="1" x14ac:dyDescent="0.25">
      <c r="A29" s="14" t="s">
        <v>102</v>
      </c>
      <c r="B29" s="1"/>
      <c r="C29" s="15">
        <f>(C28/B28)-1</f>
        <v>0.82951653944020354</v>
      </c>
      <c r="D29" s="15">
        <f>(D28/C28)-1</f>
        <v>0.72322670375521558</v>
      </c>
      <c r="E29" s="15">
        <f>(E28/D28)-1</f>
        <v>0.37610976594027434</v>
      </c>
      <c r="F29" s="15">
        <f t="shared" ref="F29:Z29" si="29">(F28/E28)-1</f>
        <v>0.63753665689149552</v>
      </c>
      <c r="G29" s="15">
        <f t="shared" si="29"/>
        <v>0.6572349570200573</v>
      </c>
      <c r="H29" s="15">
        <f t="shared" si="29"/>
        <v>0.53036524746055758</v>
      </c>
      <c r="I29" s="15">
        <f t="shared" si="29"/>
        <v>0.34585510521112828</v>
      </c>
      <c r="J29" s="15">
        <f t="shared" si="29"/>
        <v>0.20251836306400839</v>
      </c>
      <c r="K29" s="15">
        <f t="shared" si="29"/>
        <v>0.26788830715532286</v>
      </c>
      <c r="L29" s="15">
        <f t="shared" si="29"/>
        <v>0.5106675843083277</v>
      </c>
      <c r="M29" s="15">
        <f t="shared" si="29"/>
        <v>0.57357630979498864</v>
      </c>
      <c r="N29" s="15">
        <f t="shared" si="29"/>
        <v>0.29994209612043998</v>
      </c>
      <c r="O29" s="15">
        <f t="shared" si="29"/>
        <v>0.73385300668151454</v>
      </c>
      <c r="P29" s="15">
        <f t="shared" si="29"/>
        <v>0.21014771997430959</v>
      </c>
      <c r="Q29" s="15">
        <f t="shared" si="29"/>
        <v>-0.22025262710964866</v>
      </c>
      <c r="R29" s="15">
        <f t="shared" si="29"/>
        <v>6.5750068064252654E-2</v>
      </c>
      <c r="S29" s="15">
        <f t="shared" si="29"/>
        <v>0.27640822582705327</v>
      </c>
      <c r="T29" s="15">
        <f t="shared" si="29"/>
        <v>-0.18262783948764139</v>
      </c>
      <c r="U29" s="15">
        <f t="shared" si="29"/>
        <v>0.50024485798237017</v>
      </c>
      <c r="V29" s="15">
        <f t="shared" si="29"/>
        <v>2.8154072139709552E-2</v>
      </c>
      <c r="W29" s="15">
        <f t="shared" si="29"/>
        <v>0.1163584411461227</v>
      </c>
      <c r="X29" s="15">
        <f t="shared" si="29"/>
        <v>0.25709207252044086</v>
      </c>
      <c r="Y29" s="15">
        <f t="shared" si="29"/>
        <v>-0.17600814433572765</v>
      </c>
      <c r="Z29" s="15">
        <f t="shared" si="29"/>
        <v>0.28766559132404423</v>
      </c>
      <c r="AA29" s="15">
        <f t="shared" ref="AA29" si="30">(AA28/Z28)-1</f>
        <v>0.23400852878464828</v>
      </c>
      <c r="AB29" s="15">
        <f t="shared" ref="AB29" si="31">(AB28/AA28)-1</f>
        <v>-0.266609071274298</v>
      </c>
      <c r="AC29" s="15">
        <f t="shared" ref="AC29" si="32">(AC28/AB28)-1</f>
        <v>0.28772529155377558</v>
      </c>
      <c r="AD29" s="15">
        <f t="shared" ref="AD29" si="33">(AD28/AC28)-1</f>
        <v>9.651008553263507E-3</v>
      </c>
      <c r="AE29" s="15">
        <f t="shared" ref="AE29" si="34">(AE28/AD28)-1</f>
        <v>-0.44763069674730449</v>
      </c>
      <c r="AF29" s="15">
        <f t="shared" ref="AF29" si="35">(AF28/AE28)-1</f>
        <v>0.37767571557451007</v>
      </c>
      <c r="AG29" s="15">
        <f t="shared" ref="AG29" si="36">(AG28/AF28)-1</f>
        <v>0.26229313013453992</v>
      </c>
      <c r="AH29" s="15">
        <f t="shared" ref="AH29" si="37">(AH28/AG28)-1</f>
        <v>-0.21849651009243543</v>
      </c>
      <c r="AI29" s="15">
        <f t="shared" ref="AI29" si="38">(AI28/AH28)-1</f>
        <v>1.3679922756623015</v>
      </c>
      <c r="AJ29" s="15">
        <f t="shared" ref="AJ29" si="39">(AJ28/AI28)-1</f>
        <v>0.12846585117227316</v>
      </c>
      <c r="AK29" s="15">
        <f t="shared" ref="AK29" si="40">(AK28/AJ28)-1</f>
        <v>0.38368600528443353</v>
      </c>
      <c r="AL29" s="15">
        <f t="shared" ref="AL29" si="41">(AL28/AK28)-1</f>
        <v>0.1871521600757291</v>
      </c>
      <c r="AM29" s="16">
        <f t="shared" ref="AM29" si="42">(AM28/AL28)-1</f>
        <v>-5.1829855096373612E-3</v>
      </c>
      <c r="AN29" s="16">
        <f t="shared" ref="AN29" si="43">(AN28/AM28)-1</f>
        <v>0.13174223684028696</v>
      </c>
      <c r="AO29" s="16">
        <f t="shared" ref="AO29" si="44">(AO28/AN28)-1</f>
        <v>0.13458861455051663</v>
      </c>
      <c r="AP29" s="16">
        <f t="shared" ref="AP29" si="45">(AP28/AO28)-1</f>
        <v>0.18171251452925219</v>
      </c>
      <c r="AQ29" s="16">
        <f t="shared" ref="AQ29" si="46">(AQ28/AP28)-1</f>
        <v>0.13023679417122036</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c r="AM30" s="30">
        <f>AM28/AM3</f>
        <v>0.34148655025955638</v>
      </c>
      <c r="AN30" s="30">
        <f t="shared" ref="AN30:AQ30" si="47">AN28/AN3</f>
        <v>0.34833687792428752</v>
      </c>
      <c r="AO30" s="30">
        <f t="shared" si="47"/>
        <v>0.35142208774583966</v>
      </c>
      <c r="AP30" s="30">
        <f t="shared" si="47"/>
        <v>0.35556994818652848</v>
      </c>
      <c r="AQ30" s="30">
        <f t="shared" si="47"/>
        <v>0.38337967253629907</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c r="AM31" s="39">
        <v>9.7200000000000006</v>
      </c>
      <c r="AN31" s="39">
        <v>11.01</v>
      </c>
      <c r="AO31" s="39">
        <v>12.5</v>
      </c>
      <c r="AP31" s="39">
        <v>14.77</v>
      </c>
      <c r="AQ31" s="39">
        <v>16.690000000000001</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9"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c r="AM33" s="1" cm="1">
        <f t="array" ref="AM33">_FV(A1,"Shares outstanding",TRUE)</f>
        <v>7429764000</v>
      </c>
    </row>
    <row r="34" spans="1:39"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c r="AM34" s="1" cm="1">
        <f t="array" ref="AM34">_FV(A1,"Shares outstanding",TRUE)</f>
        <v>7429764000</v>
      </c>
    </row>
    <row r="35" spans="1:39" ht="20" customHeight="1" x14ac:dyDescent="0.25">
      <c r="A35" s="14" t="s">
        <v>104</v>
      </c>
      <c r="B35" s="1"/>
      <c r="C35" s="19">
        <f>(C34-B34)/B34</f>
        <v>-2.0756156025277837E-2</v>
      </c>
      <c r="D35" s="19">
        <f t="shared" ref="D35:Z35" si="48">(D34-C34)/C34</f>
        <v>-0.13838664812239221</v>
      </c>
      <c r="E35" s="19">
        <f t="shared" si="48"/>
        <v>0.10088781275221953</v>
      </c>
      <c r="F35" s="19">
        <f t="shared" si="48"/>
        <v>0.16966904061583576</v>
      </c>
      <c r="G35" s="19">
        <f t="shared" si="48"/>
        <v>5.4604063611293052E-2</v>
      </c>
      <c r="H35" s="19">
        <f t="shared" si="48"/>
        <v>5.212610759502509E-2</v>
      </c>
      <c r="I35" s="19">
        <f t="shared" si="48"/>
        <v>7.6684084168902697E-2</v>
      </c>
      <c r="J35" s="19">
        <f t="shared" si="48"/>
        <v>2.4134312696747113E-2</v>
      </c>
      <c r="K35" s="19">
        <f t="shared" si="48"/>
        <v>2.7868852459016394E-2</v>
      </c>
      <c r="L35" s="19">
        <f t="shared" si="48"/>
        <v>2.0733652312599681E-2</v>
      </c>
      <c r="M35" s="19">
        <f t="shared" si="48"/>
        <v>2.5000000000000001E-2</v>
      </c>
      <c r="N35" s="19">
        <f t="shared" si="48"/>
        <v>2.1722560975609755E-2</v>
      </c>
      <c r="O35" s="19">
        <f t="shared" si="48"/>
        <v>2.2379709063782172E-2</v>
      </c>
      <c r="P35" s="19">
        <f t="shared" si="48"/>
        <v>9.8504195549069685E-3</v>
      </c>
      <c r="Q35" s="19">
        <f t="shared" si="48"/>
        <v>6.8641618497109827E-3</v>
      </c>
      <c r="R35" s="19">
        <f t="shared" si="48"/>
        <v>-3.7674919268030141E-3</v>
      </c>
      <c r="S35" s="19">
        <f t="shared" si="48"/>
        <v>-2.0169277867819198E-2</v>
      </c>
      <c r="T35" s="19">
        <f t="shared" si="48"/>
        <v>1.1027384671935306E-3</v>
      </c>
      <c r="U35" s="19">
        <f t="shared" si="48"/>
        <v>1.1015237745548008E-3</v>
      </c>
      <c r="V35" s="19">
        <f t="shared" si="48"/>
        <v>-3.4384742343664038E-2</v>
      </c>
      <c r="W35" s="19">
        <f t="shared" si="48"/>
        <v>-6.1247744753584653E-2</v>
      </c>
      <c r="X35" s="19">
        <f t="shared" si="48"/>
        <v>-4.2079708678939912E-2</v>
      </c>
      <c r="Y35" s="19">
        <f t="shared" si="48"/>
        <v>-5.0052798310454068E-2</v>
      </c>
      <c r="Z35" s="19">
        <f t="shared" si="48"/>
        <v>-7.6700755891507336E-3</v>
      </c>
      <c r="AA35" s="19">
        <f t="shared" ref="AA35" si="49">(AA34-Z34)/Z34</f>
        <v>-3.7414584966954184E-2</v>
      </c>
      <c r="AB35" s="19">
        <f t="shared" ref="AB35" si="50">(AB34-AA34)/AA34</f>
        <v>-1.0124519958105435E-2</v>
      </c>
      <c r="AC35" s="19">
        <f t="shared" ref="AC35" si="51">(AC34-AB34)/AB34</f>
        <v>-4.2323066071008704E-3</v>
      </c>
      <c r="AD35" s="19">
        <f t="shared" ref="AD35" si="52">(AD34-AC34)/AC34</f>
        <v>-8.3825265643447458E-3</v>
      </c>
      <c r="AE35" s="19">
        <f t="shared" ref="AE35" si="53">(AE34-AD34)/AD34</f>
        <v>-1.7263959995237527E-2</v>
      </c>
      <c r="AF35" s="19">
        <f t="shared" ref="AF35" si="54">(AF34-AE34)/AE34</f>
        <v>-2.9197964623212988E-2</v>
      </c>
      <c r="AG35" s="19">
        <f t="shared" ref="AG35" si="55">(AG34-AF34)/AF34</f>
        <v>-2.2588294022213903E-2</v>
      </c>
      <c r="AH35" s="19">
        <f t="shared" ref="AH35" si="56">(AH34-AG34)/AG34</f>
        <v>-4.8518896833503579E-3</v>
      </c>
      <c r="AI35" s="19">
        <f t="shared" ref="AI35" si="57">(AI34-AH34)/AH34</f>
        <v>-5.2604567616114963E-3</v>
      </c>
      <c r="AJ35" s="19">
        <f t="shared" ref="AJ35" si="58">(AJ34-AI34)/AI34</f>
        <v>-9.0287630594608533E-3</v>
      </c>
      <c r="AK35" s="19">
        <f t="shared" ref="AK35" si="59">(AK34-AJ34)/AJ34</f>
        <v>-9.7618117922686452E-3</v>
      </c>
      <c r="AL35" s="19">
        <f t="shared" ref="AL35:AM35" si="60">(AL34-AK34)/AK34</f>
        <v>-8.9379600420609884E-3</v>
      </c>
      <c r="AM35" s="19">
        <f t="shared" si="60"/>
        <v>-1.4620159151193635E-2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9"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9" ht="19" customHeight="1"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9"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9"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9"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91</v>
      </c>
      <c r="M42" s="1" t="s">
        <v>91</v>
      </c>
      <c r="N42" s="1" t="s">
        <v>91</v>
      </c>
      <c r="O42" s="1" t="s">
        <v>91</v>
      </c>
      <c r="P42" s="1" t="s">
        <v>91</v>
      </c>
      <c r="Q42" s="1" t="s">
        <v>91</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9"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9"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9"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9" ht="19" x14ac:dyDescent="0.25">
      <c r="A47" s="5" t="s">
        <v>39</v>
      </c>
      <c r="B47" s="1" t="s">
        <v>91</v>
      </c>
      <c r="C47" s="1" t="s">
        <v>91</v>
      </c>
      <c r="D47" s="1">
        <v>7900000</v>
      </c>
      <c r="E47" s="1" t="s">
        <v>91</v>
      </c>
      <c r="F47" s="1" t="s">
        <v>91</v>
      </c>
      <c r="G47" s="1" t="s">
        <v>91</v>
      </c>
      <c r="H47" s="1" t="s">
        <v>91</v>
      </c>
      <c r="I47" s="1" t="s">
        <v>91</v>
      </c>
      <c r="J47" s="1" t="s">
        <v>91</v>
      </c>
      <c r="K47" s="1" t="s">
        <v>91</v>
      </c>
      <c r="L47" s="1" t="s">
        <v>91</v>
      </c>
      <c r="M47" s="1" t="s">
        <v>91</v>
      </c>
      <c r="N47" s="1" t="s">
        <v>91</v>
      </c>
      <c r="O47" s="1" t="s">
        <v>91</v>
      </c>
      <c r="P47" s="1" t="s">
        <v>91</v>
      </c>
      <c r="Q47" s="1" t="s">
        <v>91</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9" ht="19" x14ac:dyDescent="0.25">
      <c r="A48" s="5" t="s">
        <v>40</v>
      </c>
      <c r="B48" s="1" t="s">
        <v>91</v>
      </c>
      <c r="C48" s="1" t="s">
        <v>91</v>
      </c>
      <c r="D48" s="1">
        <v>7900000</v>
      </c>
      <c r="E48" s="1" t="s">
        <v>91</v>
      </c>
      <c r="F48" s="1" t="s">
        <v>91</v>
      </c>
      <c r="G48" s="1" t="s">
        <v>91</v>
      </c>
      <c r="H48" s="1" t="s">
        <v>91</v>
      </c>
      <c r="I48" s="1" t="s">
        <v>91</v>
      </c>
      <c r="J48" s="1" t="s">
        <v>91</v>
      </c>
      <c r="K48" s="1" t="s">
        <v>91</v>
      </c>
      <c r="L48" s="1" t="s">
        <v>91</v>
      </c>
      <c r="M48" s="1" t="s">
        <v>91</v>
      </c>
      <c r="N48" s="1" t="s">
        <v>91</v>
      </c>
      <c r="O48" s="1" t="s">
        <v>91</v>
      </c>
      <c r="P48" s="1" t="s">
        <v>91</v>
      </c>
      <c r="Q48" s="1" t="s">
        <v>91</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v>1829000000</v>
      </c>
      <c r="U50" s="1">
        <v>3621000000</v>
      </c>
      <c r="V50" s="1">
        <v>2611000000</v>
      </c>
      <c r="W50" s="1">
        <v>1389000000</v>
      </c>
      <c r="X50" s="1">
        <v>949000000</v>
      </c>
      <c r="Y50" s="1">
        <v>279000000</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91</v>
      </c>
      <c r="C55" s="1" t="s">
        <v>91</v>
      </c>
      <c r="D55" s="1" t="s">
        <v>91</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2000000000</v>
      </c>
      <c r="Z56" s="1">
        <v>1000000000</v>
      </c>
      <c r="AA56" s="1" t="s">
        <v>91</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t="s">
        <v>91</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v>1027000000</v>
      </c>
      <c r="Q63" s="1">
        <v>836000000</v>
      </c>
      <c r="R63" s="1">
        <v>398000000</v>
      </c>
      <c r="S63" s="1">
        <v>1731000000</v>
      </c>
      <c r="T63" s="1" t="s">
        <v>91</v>
      </c>
      <c r="U63" s="1" t="s">
        <v>91</v>
      </c>
      <c r="V63" s="1" t="s">
        <v>91</v>
      </c>
      <c r="W63" s="1" t="s">
        <v>91</v>
      </c>
      <c r="X63" s="1" t="s">
        <v>91</v>
      </c>
      <c r="Y63" s="1" t="s">
        <v>91</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91</v>
      </c>
      <c r="C64" s="1">
        <v>100000</v>
      </c>
      <c r="D64" s="1">
        <v>-100000</v>
      </c>
      <c r="E64" s="1" t="s">
        <v>91</v>
      </c>
      <c r="F64" s="1">
        <v>-100000</v>
      </c>
      <c r="G64" s="1" t="s">
        <v>91</v>
      </c>
      <c r="H64" s="1" t="s">
        <v>91</v>
      </c>
      <c r="I64" s="1" t="s">
        <v>91</v>
      </c>
      <c r="J64" s="1" t="s">
        <v>91</v>
      </c>
      <c r="K64" s="1">
        <v>405000000</v>
      </c>
      <c r="L64" s="1">
        <v>635000000</v>
      </c>
      <c r="M64" s="1" t="s">
        <v>91</v>
      </c>
      <c r="N64" s="1" t="s">
        <v>91</v>
      </c>
      <c r="O64" s="1">
        <v>1385000000</v>
      </c>
      <c r="P64" s="1" t="s">
        <v>91</v>
      </c>
      <c r="Q64" s="1" t="s">
        <v>91</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91</v>
      </c>
      <c r="F65" s="1">
        <v>-100000</v>
      </c>
      <c r="G65" s="1" t="s">
        <v>91</v>
      </c>
      <c r="H65" s="1" t="s">
        <v>91</v>
      </c>
      <c r="I65" s="1" t="s">
        <v>91</v>
      </c>
      <c r="J65" s="1" t="s">
        <v>91</v>
      </c>
      <c r="K65" s="1">
        <v>405000000</v>
      </c>
      <c r="L65" s="1">
        <v>635000000</v>
      </c>
      <c r="M65" s="1" t="s">
        <v>91</v>
      </c>
      <c r="N65" s="1" t="s">
        <v>91</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91</v>
      </c>
      <c r="V71" s="1" t="s">
        <v>91</v>
      </c>
      <c r="W71" s="1" t="s">
        <v>91</v>
      </c>
      <c r="X71" s="1" t="s">
        <v>91</v>
      </c>
      <c r="Y71" s="1" t="s">
        <v>91</v>
      </c>
      <c r="Z71" s="1">
        <v>8629000000</v>
      </c>
      <c r="AA71" s="1" t="s">
        <v>91</v>
      </c>
      <c r="AB71" s="1">
        <v>-1422000000</v>
      </c>
      <c r="AC71" s="1" t="s">
        <v>91</v>
      </c>
      <c r="AD71" s="1" t="s">
        <v>91</v>
      </c>
      <c r="AE71" s="1" t="s">
        <v>91</v>
      </c>
      <c r="AF71" s="1" t="s">
        <v>91</v>
      </c>
      <c r="AG71" s="1" t="s">
        <v>91</v>
      </c>
      <c r="AH71" s="1" t="s">
        <v>91</v>
      </c>
      <c r="AI71" s="1" t="s">
        <v>91</v>
      </c>
      <c r="AJ71" s="1" t="s">
        <v>91</v>
      </c>
      <c r="AK71" s="1" t="s">
        <v>91</v>
      </c>
      <c r="AL71" s="1" t="s">
        <v>91</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91</v>
      </c>
      <c r="C77" s="1" t="s">
        <v>91</v>
      </c>
      <c r="D77" s="1" t="s">
        <v>91</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106</v>
      </c>
      <c r="B80" s="15" t="e">
        <f t="shared" ref="B80:AL80" si="61">B79/B3</f>
        <v>#VALUE!</v>
      </c>
      <c r="C80" s="15" t="e">
        <f t="shared" si="61"/>
        <v>#VALUE!</v>
      </c>
      <c r="D80" s="15" t="e">
        <f t="shared" si="61"/>
        <v>#VALUE!</v>
      </c>
      <c r="E80" s="15" t="e">
        <f t="shared" si="61"/>
        <v>#VALUE!</v>
      </c>
      <c r="F80" s="15" t="e">
        <f t="shared" si="61"/>
        <v>#VALUE!</v>
      </c>
      <c r="G80" s="15" t="e">
        <f t="shared" si="61"/>
        <v>#VALUE!</v>
      </c>
      <c r="H80" s="15" t="e">
        <f t="shared" si="61"/>
        <v>#VALUE!</v>
      </c>
      <c r="I80" s="15" t="e">
        <f t="shared" si="61"/>
        <v>#VALUE!</v>
      </c>
      <c r="J80" s="15" t="e">
        <f t="shared" si="61"/>
        <v>#VALUE!</v>
      </c>
      <c r="K80" s="15" t="e">
        <f t="shared" si="61"/>
        <v>#VALUE!</v>
      </c>
      <c r="L80" s="15" t="e">
        <f t="shared" si="61"/>
        <v>#VALUE!</v>
      </c>
      <c r="M80" s="15" t="e">
        <f t="shared" si="61"/>
        <v>#VALUE!</v>
      </c>
      <c r="N80" s="15" t="e">
        <f t="shared" si="61"/>
        <v>#VALUE!</v>
      </c>
      <c r="O80" s="15" t="e">
        <f t="shared" si="61"/>
        <v>#VALUE!</v>
      </c>
      <c r="P80" s="15" t="e">
        <f t="shared" si="61"/>
        <v>#VALUE!</v>
      </c>
      <c r="Q80" s="15" t="e">
        <f t="shared" si="61"/>
        <v>#VALUE!</v>
      </c>
      <c r="R80" s="15" t="e">
        <f t="shared" si="61"/>
        <v>#VALUE!</v>
      </c>
      <c r="S80" s="15" t="e">
        <f t="shared" si="61"/>
        <v>#VALUE!</v>
      </c>
      <c r="T80" s="15" t="e">
        <f t="shared" si="61"/>
        <v>#VALUE!</v>
      </c>
      <c r="U80" s="15" t="e">
        <f t="shared" si="61"/>
        <v>#VALUE!</v>
      </c>
      <c r="V80" s="15" t="e">
        <f t="shared" si="61"/>
        <v>#VALUE!</v>
      </c>
      <c r="W80" s="15" t="e">
        <f t="shared" si="61"/>
        <v>#VALUE!</v>
      </c>
      <c r="X80" s="15">
        <f t="shared" si="61"/>
        <v>2.4478649453823238E-2</v>
      </c>
      <c r="Y80" s="15">
        <f t="shared" si="61"/>
        <v>2.9228057566267947E-2</v>
      </c>
      <c r="Z80" s="15">
        <f t="shared" si="61"/>
        <v>3.0263747519364958E-2</v>
      </c>
      <c r="AA80" s="15">
        <f t="shared" si="61"/>
        <v>3.0968074003116824E-2</v>
      </c>
      <c r="AB80" s="15">
        <f t="shared" si="61"/>
        <v>3.043826214342878E-2</v>
      </c>
      <c r="AC80" s="15">
        <f t="shared" si="61"/>
        <v>3.0905984662616091E-2</v>
      </c>
      <c r="AD80" s="15">
        <f t="shared" si="61"/>
        <v>2.8169014084507043E-2</v>
      </c>
      <c r="AE80" s="15">
        <f t="shared" si="61"/>
        <v>2.7505877324214577E-2</v>
      </c>
      <c r="AF80" s="15">
        <f t="shared" si="61"/>
        <v>3.1270511017346458E-2</v>
      </c>
      <c r="AG80" s="15">
        <f t="shared" si="61"/>
        <v>3.6309060589216229E-2</v>
      </c>
      <c r="AH80" s="15">
        <f t="shared" si="61"/>
        <v>3.5701341065603479E-2</v>
      </c>
      <c r="AI80" s="15">
        <f t="shared" si="61"/>
        <v>3.6966696598142126E-2</v>
      </c>
      <c r="AJ80" s="15">
        <f t="shared" si="61"/>
        <v>3.6982134741111075E-2</v>
      </c>
      <c r="AK80" s="15">
        <f t="shared" si="61"/>
        <v>3.6397601256484696E-2</v>
      </c>
      <c r="AL80" s="15">
        <f t="shared" si="61"/>
        <v>3.7837292580824126E-2</v>
      </c>
    </row>
    <row r="81" spans="1:46" ht="19" x14ac:dyDescent="0.25">
      <c r="A81" s="5" t="s">
        <v>69</v>
      </c>
      <c r="B81" s="1" t="s">
        <v>91</v>
      </c>
      <c r="C81" s="1" t="s">
        <v>91</v>
      </c>
      <c r="D81" s="1" t="s">
        <v>91</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19" x14ac:dyDescent="0.25">
      <c r="A83" s="5" t="s">
        <v>34</v>
      </c>
      <c r="B83" s="1" t="s">
        <v>91</v>
      </c>
      <c r="C83" s="1" t="s">
        <v>91</v>
      </c>
      <c r="D83" s="1" t="s">
        <v>91</v>
      </c>
      <c r="E83" s="1">
        <v>14700000</v>
      </c>
      <c r="F83" s="1">
        <v>-15600000</v>
      </c>
      <c r="G83" s="1">
        <v>8100000</v>
      </c>
      <c r="H83" s="1">
        <v>-40000000</v>
      </c>
      <c r="I83" s="1">
        <v>-51000000</v>
      </c>
      <c r="J83" s="1">
        <v>23000000</v>
      </c>
      <c r="K83" s="1">
        <v>15000000</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M84" s="44"/>
      <c r="AN84" s="44"/>
      <c r="AO84" s="44"/>
      <c r="AP84" s="44"/>
      <c r="AQ84" s="44"/>
      <c r="AR84" s="44"/>
      <c r="AS84" s="72" t="s">
        <v>121</v>
      </c>
      <c r="AT84" s="73"/>
    </row>
    <row r="85" spans="1:46" ht="20" customHeight="1" x14ac:dyDescent="0.25">
      <c r="A85" s="5" t="s">
        <v>71</v>
      </c>
      <c r="B85" s="1" t="s">
        <v>91</v>
      </c>
      <c r="C85" s="1" t="s">
        <v>91</v>
      </c>
      <c r="D85" s="1" t="s">
        <v>91</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M85" s="44"/>
      <c r="AN85" s="44"/>
      <c r="AO85" s="44"/>
      <c r="AP85" s="44"/>
      <c r="AQ85" s="44"/>
      <c r="AR85" s="44"/>
      <c r="AS85" s="74" t="s">
        <v>122</v>
      </c>
      <c r="AT85" s="74"/>
    </row>
    <row r="86" spans="1:46" ht="20" x14ac:dyDescent="0.25">
      <c r="A86" s="5" t="s">
        <v>72</v>
      </c>
      <c r="B86" s="1" t="s">
        <v>91</v>
      </c>
      <c r="C86" s="1" t="s">
        <v>91</v>
      </c>
      <c r="D86" s="1" t="s">
        <v>91</v>
      </c>
      <c r="E86" s="1" t="s">
        <v>91</v>
      </c>
      <c r="F86" s="1" t="s">
        <v>91</v>
      </c>
      <c r="G86" s="1">
        <v>100000</v>
      </c>
      <c r="H86" s="1" t="s">
        <v>91</v>
      </c>
      <c r="I86" s="1" t="s">
        <v>91</v>
      </c>
      <c r="J86" s="1" t="s">
        <v>91</v>
      </c>
      <c r="K86" s="1" t="s">
        <v>91</v>
      </c>
      <c r="L86" s="1" t="s">
        <v>91</v>
      </c>
      <c r="M86" s="1" t="s">
        <v>91</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M86" s="44"/>
      <c r="AN86" s="44"/>
      <c r="AO86" s="44"/>
      <c r="AP86" s="44"/>
      <c r="AQ86" s="44"/>
      <c r="AR86" s="44"/>
      <c r="AS86" s="32" t="s">
        <v>101</v>
      </c>
      <c r="AT86" s="45">
        <f>AL17</f>
        <v>2063000000</v>
      </c>
    </row>
    <row r="87" spans="1:46" ht="20" x14ac:dyDescent="0.25">
      <c r="A87" s="6" t="s">
        <v>73</v>
      </c>
      <c r="B87" s="10" t="s">
        <v>91</v>
      </c>
      <c r="C87" s="10" t="s">
        <v>91</v>
      </c>
      <c r="D87" s="10" t="s">
        <v>91</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M87" s="44"/>
      <c r="AN87" s="44"/>
      <c r="AO87" s="44"/>
      <c r="AP87" s="44"/>
      <c r="AQ87" s="44"/>
      <c r="AR87" s="44"/>
      <c r="AS87" s="32" t="s">
        <v>123</v>
      </c>
      <c r="AT87" s="45">
        <f>AL56</f>
        <v>2749000000</v>
      </c>
    </row>
    <row r="88" spans="1:46" ht="20" x14ac:dyDescent="0.25">
      <c r="A88" s="5" t="s">
        <v>74</v>
      </c>
      <c r="B88" s="1" t="s">
        <v>91</v>
      </c>
      <c r="C88" s="1" t="s">
        <v>91</v>
      </c>
      <c r="D88" s="1" t="s">
        <v>91</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M88" s="44"/>
      <c r="AN88" s="44"/>
      <c r="AO88" s="44"/>
      <c r="AP88" s="44"/>
      <c r="AQ88" s="44"/>
      <c r="AR88" s="44"/>
      <c r="AS88" s="32" t="s">
        <v>124</v>
      </c>
      <c r="AT88" s="45">
        <f>AL61</f>
        <v>58521000000</v>
      </c>
    </row>
    <row r="89" spans="1:46" ht="20" customHeight="1" x14ac:dyDescent="0.25">
      <c r="A89" s="14" t="s">
        <v>107</v>
      </c>
      <c r="B89" s="15" t="e">
        <f t="shared" ref="B89:AL89" si="62">(-1*B88)/B3</f>
        <v>#VALUE!</v>
      </c>
      <c r="C89" s="15" t="e">
        <f t="shared" si="62"/>
        <v>#VALUE!</v>
      </c>
      <c r="D89" s="15" t="e">
        <f t="shared" si="62"/>
        <v>#VALUE!</v>
      </c>
      <c r="E89" s="15">
        <f t="shared" si="62"/>
        <v>0.11126322339763535</v>
      </c>
      <c r="F89" s="15">
        <f t="shared" si="62"/>
        <v>0.13359810714889303</v>
      </c>
      <c r="G89" s="15">
        <f t="shared" si="62"/>
        <v>0.14343061733752849</v>
      </c>
      <c r="H89" s="15">
        <f t="shared" si="62"/>
        <v>0.11476420052923478</v>
      </c>
      <c r="I89" s="15">
        <f t="shared" si="62"/>
        <v>6.2883026911803891E-2</v>
      </c>
      <c r="J89" s="15">
        <f t="shared" si="62"/>
        <v>5.9797805979780599E-2</v>
      </c>
      <c r="K89" s="15">
        <f t="shared" si="62"/>
        <v>8.3375442142496203E-2</v>
      </c>
      <c r="L89" s="15">
        <f t="shared" si="62"/>
        <v>5.6971514242878558E-2</v>
      </c>
      <c r="M89" s="15">
        <f t="shared" si="62"/>
        <v>4.393379116041557E-2</v>
      </c>
      <c r="N89" s="15">
        <f t="shared" si="62"/>
        <v>4.5291355979011322E-2</v>
      </c>
      <c r="O89" s="15">
        <f t="shared" si="62"/>
        <v>2.9523471919785285E-2</v>
      </c>
      <c r="P89" s="15">
        <f t="shared" si="62"/>
        <v>3.8290642969158392E-2</v>
      </c>
      <c r="Q89" s="15">
        <f t="shared" si="62"/>
        <v>4.3603731815306766E-2</v>
      </c>
      <c r="R89" s="15">
        <f t="shared" si="62"/>
        <v>2.7146130794993832E-2</v>
      </c>
      <c r="S89" s="15">
        <f t="shared" si="62"/>
        <v>2.7681983409451022E-2</v>
      </c>
      <c r="T89" s="15">
        <f t="shared" si="62"/>
        <v>3.0107234966743585E-2</v>
      </c>
      <c r="U89" s="15">
        <f t="shared" si="62"/>
        <v>2.0408163265306121E-2</v>
      </c>
      <c r="V89" s="15">
        <f t="shared" si="62"/>
        <v>3.5635246827153244E-2</v>
      </c>
      <c r="W89" s="15">
        <f t="shared" si="62"/>
        <v>4.4286217284143815E-2</v>
      </c>
      <c r="X89" s="15">
        <f t="shared" si="62"/>
        <v>5.2664680569347901E-2</v>
      </c>
      <c r="Y89" s="15">
        <f t="shared" si="62"/>
        <v>5.3373718705614595E-2</v>
      </c>
      <c r="Z89" s="15">
        <f t="shared" si="62"/>
        <v>3.1640099865565582E-2</v>
      </c>
      <c r="AA89" s="15">
        <f t="shared" si="62"/>
        <v>3.3670274366269674E-2</v>
      </c>
      <c r="AB89" s="15">
        <f t="shared" si="62"/>
        <v>3.1265683707933749E-2</v>
      </c>
      <c r="AC89" s="15">
        <f t="shared" si="62"/>
        <v>5.4682783336972858E-2</v>
      </c>
      <c r="AD89" s="15">
        <f t="shared" si="62"/>
        <v>6.3167229048863904E-2</v>
      </c>
      <c r="AE89" s="15">
        <f t="shared" si="62"/>
        <v>6.3517845693524255E-2</v>
      </c>
      <c r="AF89" s="15">
        <f t="shared" si="62"/>
        <v>9.7784810126582272E-2</v>
      </c>
      <c r="AG89" s="15">
        <f t="shared" si="62"/>
        <v>9.0372429127292944E-2</v>
      </c>
      <c r="AH89" s="15">
        <f t="shared" si="62"/>
        <v>0.10540050743022834</v>
      </c>
      <c r="AI89" s="15">
        <f t="shared" si="62"/>
        <v>0.11065375110256431</v>
      </c>
      <c r="AJ89" s="15">
        <f t="shared" si="62"/>
        <v>0.10796769569625564</v>
      </c>
      <c r="AK89" s="15">
        <f t="shared" si="62"/>
        <v>0.12268573604302509</v>
      </c>
      <c r="AL89" s="15">
        <f t="shared" si="62"/>
        <v>0.12047208352246935</v>
      </c>
      <c r="AM89" s="44"/>
      <c r="AN89" s="44"/>
      <c r="AO89" s="44"/>
      <c r="AP89" s="44"/>
      <c r="AQ89" s="44"/>
      <c r="AR89" s="44"/>
      <c r="AS89" s="33" t="s">
        <v>125</v>
      </c>
      <c r="AT89" s="46">
        <f>AT86/(AT87+AT88)</f>
        <v>3.3670638158968501E-2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-190000000</v>
      </c>
      <c r="O90" s="1" t="s">
        <v>91</v>
      </c>
      <c r="P90" s="1" t="s">
        <v>91</v>
      </c>
      <c r="Q90" s="1" t="s">
        <v>91</v>
      </c>
      <c r="R90" s="1" t="s">
        <v>91</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M90" s="44"/>
      <c r="AN90" s="44"/>
      <c r="AO90" s="44"/>
      <c r="AP90" s="44"/>
      <c r="AQ90" s="44"/>
      <c r="AR90" s="44"/>
      <c r="AS90" s="32" t="s">
        <v>126</v>
      </c>
      <c r="AT90" s="45">
        <f>AL27</f>
        <v>10978000000</v>
      </c>
    </row>
    <row r="91" spans="1:46" ht="20" x14ac:dyDescent="0.25">
      <c r="A91" s="5" t="s">
        <v>76</v>
      </c>
      <c r="B91" s="1" t="s">
        <v>91</v>
      </c>
      <c r="C91" s="1" t="s">
        <v>91</v>
      </c>
      <c r="D91" s="1" t="s">
        <v>91</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M91" s="44"/>
      <c r="AN91" s="44"/>
      <c r="AO91" s="44"/>
      <c r="AP91" s="44"/>
      <c r="AQ91" s="44"/>
      <c r="AR91" s="44"/>
      <c r="AS91" s="32" t="s">
        <v>19</v>
      </c>
      <c r="AT91" s="45">
        <f>AL25</f>
        <v>83716000000</v>
      </c>
    </row>
    <row r="92" spans="1:4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M92" s="44"/>
      <c r="AN92" s="44"/>
      <c r="AO92" s="44"/>
      <c r="AP92" s="44"/>
      <c r="AQ92" s="44"/>
      <c r="AR92" s="44"/>
      <c r="AS92" s="33" t="s">
        <v>127</v>
      </c>
      <c r="AT92" s="46">
        <f>AT90/AT91</f>
        <v>0.13113383343685794</v>
      </c>
    </row>
    <row r="93" spans="1:46" ht="19" customHeight="1" x14ac:dyDescent="0.25">
      <c r="A93" s="5" t="s">
        <v>78</v>
      </c>
      <c r="B93" s="1" t="s">
        <v>91</v>
      </c>
      <c r="C93" s="1" t="s">
        <v>91</v>
      </c>
      <c r="D93" s="1" t="s">
        <v>91</v>
      </c>
      <c r="E93" s="1">
        <v>-39900000</v>
      </c>
      <c r="F93" s="1">
        <v>-18100000</v>
      </c>
      <c r="G93" s="1">
        <v>-39700000</v>
      </c>
      <c r="H93" s="1">
        <v>-40700000</v>
      </c>
      <c r="I93" s="1">
        <v>-17000000</v>
      </c>
      <c r="J93" s="1">
        <v>-64000000</v>
      </c>
      <c r="K93" s="1">
        <v>-230000000</v>
      </c>
      <c r="L93" s="1">
        <v>-625000000</v>
      </c>
      <c r="M93" s="1">
        <v>-1669000000</v>
      </c>
      <c r="N93" s="1">
        <v>-1598000000</v>
      </c>
      <c r="O93" s="1">
        <v>79000000</v>
      </c>
      <c r="P93" s="1" t="s">
        <v>91</v>
      </c>
      <c r="Q93" s="1" t="s">
        <v>91</v>
      </c>
      <c r="R93" s="1" t="s">
        <v>91</v>
      </c>
      <c r="S93" s="1" t="s">
        <v>91</v>
      </c>
      <c r="T93" s="1" t="s">
        <v>91</v>
      </c>
      <c r="U93" s="1" t="s">
        <v>91</v>
      </c>
      <c r="V93" s="1">
        <v>3117000000</v>
      </c>
      <c r="W93" s="1">
        <v>-376000000</v>
      </c>
      <c r="X93" s="1">
        <v>-127000000</v>
      </c>
      <c r="Y93" s="1">
        <v>-930000000</v>
      </c>
      <c r="Z93" s="1">
        <v>-1502000000</v>
      </c>
      <c r="AA93" s="1" t="s">
        <v>91</v>
      </c>
      <c r="AB93" s="1">
        <v>-394000000</v>
      </c>
      <c r="AC93" s="1">
        <v>-168000000</v>
      </c>
      <c r="AD93" s="1">
        <v>-87000000</v>
      </c>
      <c r="AE93" s="1">
        <v>-466000000</v>
      </c>
      <c r="AF93" s="1">
        <v>203000000</v>
      </c>
      <c r="AG93" s="1">
        <v>-197000000</v>
      </c>
      <c r="AH93" s="1">
        <v>-98000000</v>
      </c>
      <c r="AI93" s="1" t="s">
        <v>91</v>
      </c>
      <c r="AJ93" s="1">
        <v>-1241000000</v>
      </c>
      <c r="AK93" s="1">
        <v>-922000000</v>
      </c>
      <c r="AL93" s="1">
        <v>-2825000000</v>
      </c>
      <c r="AM93" s="44"/>
      <c r="AN93" s="44"/>
      <c r="AO93" s="44"/>
      <c r="AP93" s="44"/>
      <c r="AQ93" s="44"/>
      <c r="AR93" s="44"/>
      <c r="AS93" s="33" t="s">
        <v>128</v>
      </c>
      <c r="AT93" s="46">
        <f>AT89*(1-AT92)</f>
        <v>2.9255278302917614E-2</v>
      </c>
    </row>
    <row r="94" spans="1:46" ht="20" customHeight="1" x14ac:dyDescent="0.25">
      <c r="A94" s="6" t="s">
        <v>79</v>
      </c>
      <c r="B94" s="10" t="s">
        <v>91</v>
      </c>
      <c r="C94" s="10" t="s">
        <v>91</v>
      </c>
      <c r="D94" s="10" t="s">
        <v>91</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M94" s="44"/>
      <c r="AN94" s="44"/>
      <c r="AO94" s="44"/>
      <c r="AP94" s="44"/>
      <c r="AQ94" s="44"/>
      <c r="AR94" s="44"/>
      <c r="AS94" s="74" t="s">
        <v>129</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-228000000</v>
      </c>
      <c r="Z95" s="1">
        <v>-2986000000</v>
      </c>
      <c r="AA95" s="1">
        <v>-814000000</v>
      </c>
      <c r="AB95" s="1" t="s">
        <v>91</v>
      </c>
      <c r="AC95" s="1">
        <v>-1346000000</v>
      </c>
      <c r="AD95" s="1">
        <v>-3888000000</v>
      </c>
      <c r="AE95" s="1">
        <v>-1500000000</v>
      </c>
      <c r="AF95" s="1">
        <v>-2796000000</v>
      </c>
      <c r="AG95" s="1">
        <v>-7922000000</v>
      </c>
      <c r="AH95" s="1">
        <v>-10060000000</v>
      </c>
      <c r="AI95" s="1">
        <v>-4000000000</v>
      </c>
      <c r="AJ95" s="1">
        <v>-5518000000</v>
      </c>
      <c r="AK95" s="1">
        <v>-3750000000</v>
      </c>
      <c r="AL95" s="1">
        <v>-9023000000</v>
      </c>
      <c r="AM95" s="44"/>
      <c r="AN95" s="44"/>
      <c r="AO95" s="44"/>
      <c r="AP95" s="44"/>
      <c r="AQ95" s="44"/>
      <c r="AR95" s="44"/>
      <c r="AS95" s="32" t="s">
        <v>103</v>
      </c>
      <c r="AT95" s="68">
        <f>'[1]US Treasury Bonds'!$C$8</f>
        <v>4.9880000000000008E-2</v>
      </c>
    </row>
    <row r="96" spans="1:46" ht="20" x14ac:dyDescent="0.25">
      <c r="A96" s="5" t="s">
        <v>81</v>
      </c>
      <c r="B96" s="1" t="s">
        <v>91</v>
      </c>
      <c r="C96" s="1" t="s">
        <v>91</v>
      </c>
      <c r="D96" s="1" t="s">
        <v>91</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M96" s="44"/>
      <c r="AN96" s="44"/>
      <c r="AO96" s="44"/>
      <c r="AP96" s="44"/>
      <c r="AQ96" s="44"/>
      <c r="AR96" s="44"/>
      <c r="AS96" s="32" t="s">
        <v>130</v>
      </c>
      <c r="AT96" s="48" cm="1">
        <f t="array" ref="AT96">_FV(A1,"Beta")</f>
        <v>0.89639999999999997</v>
      </c>
    </row>
    <row r="97" spans="1:46" ht="20" x14ac:dyDescent="0.25">
      <c r="A97" s="5" t="s">
        <v>82</v>
      </c>
      <c r="B97" s="1" t="s">
        <v>91</v>
      </c>
      <c r="C97" s="1" t="s">
        <v>91</v>
      </c>
      <c r="D97" s="1" t="s">
        <v>91</v>
      </c>
      <c r="E97" s="1" t="s">
        <v>91</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M97" s="44"/>
      <c r="AN97" s="44"/>
      <c r="AO97" s="44"/>
      <c r="AP97" s="44"/>
      <c r="AQ97" s="44"/>
      <c r="AR97" s="44"/>
      <c r="AS97" s="32" t="s">
        <v>131</v>
      </c>
      <c r="AT97" s="47">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-15000000</v>
      </c>
      <c r="N98" s="1">
        <v>-28000000</v>
      </c>
      <c r="O98" s="1">
        <v>-28000000</v>
      </c>
      <c r="P98" s="1">
        <v>-13000000</v>
      </c>
      <c r="Q98" s="1" t="s">
        <v>91</v>
      </c>
      <c r="R98" s="1" t="s">
        <v>91</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M98" s="44"/>
      <c r="AN98" s="44"/>
      <c r="AO98" s="44"/>
      <c r="AP98" s="44"/>
      <c r="AQ98" s="44"/>
      <c r="AR98" s="44"/>
      <c r="AS98" s="33" t="s">
        <v>132</v>
      </c>
      <c r="AT98" s="46">
        <f>(AT95)+((AT96)*(AT97-AT95))</f>
        <v>8.0465168000000004E-2</v>
      </c>
    </row>
    <row r="99" spans="1:46" ht="20" customHeight="1" x14ac:dyDescent="0.25">
      <c r="A99" s="5" t="s">
        <v>84</v>
      </c>
      <c r="B99" s="1" t="s">
        <v>91</v>
      </c>
      <c r="C99" s="1" t="s">
        <v>91</v>
      </c>
      <c r="D99" s="1" t="s">
        <v>91</v>
      </c>
      <c r="E99" s="1">
        <v>19200000</v>
      </c>
      <c r="F99" s="1">
        <v>-19600000</v>
      </c>
      <c r="G99" s="1">
        <v>13000000</v>
      </c>
      <c r="H99" s="1">
        <v>-11100000</v>
      </c>
      <c r="I99" s="1" t="s">
        <v>91</v>
      </c>
      <c r="J99" s="1" t="s">
        <v>91</v>
      </c>
      <c r="K99" s="1">
        <v>179000000</v>
      </c>
      <c r="L99" s="1">
        <v>352000000</v>
      </c>
      <c r="M99" s="1">
        <v>891000000</v>
      </c>
      <c r="N99" s="1">
        <v>2091000000</v>
      </c>
      <c r="O99" s="1">
        <v>3107000000</v>
      </c>
      <c r="P99" s="1" t="s">
        <v>91</v>
      </c>
      <c r="Q99" s="1">
        <v>235000000</v>
      </c>
      <c r="R99" s="1" t="s">
        <v>91</v>
      </c>
      <c r="S99" s="1" t="s">
        <v>91</v>
      </c>
      <c r="T99" s="1" t="s">
        <v>91</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M99" s="44"/>
      <c r="AN99" s="44"/>
      <c r="AO99" s="44"/>
      <c r="AP99" s="44"/>
      <c r="AQ99" s="44"/>
      <c r="AR99" s="44"/>
      <c r="AS99" s="74" t="s">
        <v>133</v>
      </c>
      <c r="AT99" s="74"/>
    </row>
    <row r="100" spans="1:46" ht="20" x14ac:dyDescent="0.25">
      <c r="A100" s="6" t="s">
        <v>85</v>
      </c>
      <c r="B100" s="10" t="s">
        <v>91</v>
      </c>
      <c r="C100" s="10" t="s">
        <v>91</v>
      </c>
      <c r="D100" s="10" t="s">
        <v>91</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M100" s="44"/>
      <c r="AN100" s="44"/>
      <c r="AO100" s="44"/>
      <c r="AP100" s="44"/>
      <c r="AQ100" s="44"/>
      <c r="AR100" s="44"/>
      <c r="AS100" s="32" t="s">
        <v>134</v>
      </c>
      <c r="AT100" s="45">
        <f>AT87+AT88</f>
        <v>61270000000</v>
      </c>
    </row>
    <row r="101" spans="1:46" ht="20" x14ac:dyDescent="0.25">
      <c r="A101" s="5" t="s">
        <v>86</v>
      </c>
      <c r="B101" s="1" t="s">
        <v>91</v>
      </c>
      <c r="C101" s="1" t="s">
        <v>91</v>
      </c>
      <c r="D101" s="1" t="s">
        <v>91</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M101" s="44"/>
      <c r="AN101" s="44"/>
      <c r="AO101" s="44"/>
      <c r="AP101" s="44"/>
      <c r="AQ101" s="44"/>
      <c r="AR101" s="44"/>
      <c r="AS101" s="33" t="s">
        <v>105</v>
      </c>
      <c r="AT101" s="46">
        <f>AT100/AT104</f>
        <v>2.4622732024227423E-2</v>
      </c>
    </row>
    <row r="102" spans="1:46" ht="20" x14ac:dyDescent="0.25">
      <c r="A102" s="6" t="s">
        <v>87</v>
      </c>
      <c r="B102" s="10" t="s">
        <v>91</v>
      </c>
      <c r="C102" s="10" t="s">
        <v>91</v>
      </c>
      <c r="D102" s="10" t="s">
        <v>91</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M102" s="44"/>
      <c r="AN102" s="44"/>
      <c r="AO102" s="44"/>
      <c r="AP102" s="44"/>
      <c r="AQ102" s="44"/>
      <c r="AR102" s="44"/>
      <c r="AS102" s="32" t="s">
        <v>135</v>
      </c>
      <c r="AT102" s="49" cm="1">
        <f t="array" ref="AT102">_FV(A1,"Market cap",TRUE)</f>
        <v>2427081005880</v>
      </c>
    </row>
    <row r="103" spans="1:46" ht="20" x14ac:dyDescent="0.25">
      <c r="A103" s="5" t="s">
        <v>88</v>
      </c>
      <c r="B103" s="1" t="s">
        <v>91</v>
      </c>
      <c r="C103" s="1" t="s">
        <v>91</v>
      </c>
      <c r="D103" s="1" t="s">
        <v>91</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M103" s="44"/>
      <c r="AN103" s="44"/>
      <c r="AO103" s="44"/>
      <c r="AP103" s="44"/>
      <c r="AQ103" s="44"/>
      <c r="AR103" s="44"/>
      <c r="AS103" s="33" t="s">
        <v>136</v>
      </c>
      <c r="AT103" s="46">
        <f>AT102/AT104</f>
        <v>0.97537726797577262</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M104" s="76" t="s">
        <v>115</v>
      </c>
      <c r="AN104" s="76"/>
      <c r="AO104" s="76"/>
      <c r="AP104" s="76"/>
      <c r="AQ104" s="76"/>
      <c r="AR104" s="44"/>
      <c r="AS104" s="33" t="s">
        <v>137</v>
      </c>
      <c r="AT104" s="50">
        <f>AT100+AT102</f>
        <v>2488351005880</v>
      </c>
    </row>
    <row r="105" spans="1:46" ht="21" customHeight="1" thickTop="1" x14ac:dyDescent="0.25">
      <c r="A105" s="14" t="s">
        <v>160</v>
      </c>
      <c r="B105" s="1" t="e">
        <f t="shared" ref="B105:AL105" si="63">(B22*(1-$AT$92))+B77+B88+B81</f>
        <v>#VALUE!</v>
      </c>
      <c r="C105" s="1" t="e">
        <f t="shared" si="63"/>
        <v>#VALUE!</v>
      </c>
      <c r="D105" s="1" t="e">
        <f t="shared" si="63"/>
        <v>#VALUE!</v>
      </c>
      <c r="E105" s="1">
        <f t="shared" si="63"/>
        <v>173039385.54159302</v>
      </c>
      <c r="F105" s="1">
        <f t="shared" si="63"/>
        <v>182638176.69262749</v>
      </c>
      <c r="G105" s="1">
        <f t="shared" si="63"/>
        <v>395289235.03272974</v>
      </c>
      <c r="H105" s="1">
        <f t="shared" si="63"/>
        <v>747690701.89688957</v>
      </c>
      <c r="I105" s="1">
        <f t="shared" si="63"/>
        <v>1037116536.8627264</v>
      </c>
      <c r="J105" s="1">
        <f t="shared" si="63"/>
        <v>1668663003.4879832</v>
      </c>
      <c r="K105" s="1">
        <f t="shared" si="63"/>
        <v>1812749247.4556835</v>
      </c>
      <c r="L105" s="1">
        <f t="shared" si="63"/>
        <v>3704370060.6813512</v>
      </c>
      <c r="M105" s="1">
        <f t="shared" si="63"/>
        <v>5193283434.4689188</v>
      </c>
      <c r="N105" s="1">
        <f t="shared" si="63"/>
        <v>7467931195.9482059</v>
      </c>
      <c r="O105" s="1">
        <f t="shared" si="63"/>
        <v>10548022910.793636</v>
      </c>
      <c r="P105" s="1">
        <f t="shared" si="63"/>
        <v>7864724951.0248947</v>
      </c>
      <c r="Q105" s="1">
        <f t="shared" si="63"/>
        <v>10914111472.120026</v>
      </c>
      <c r="R105" s="1">
        <f t="shared" si="63"/>
        <v>12654196043.767023</v>
      </c>
      <c r="S105" s="1">
        <f t="shared" si="63"/>
        <v>14304804123.46505</v>
      </c>
      <c r="T105" s="1">
        <f t="shared" si="63"/>
        <v>9889336948.7314262</v>
      </c>
      <c r="U105" s="1">
        <f t="shared" si="63"/>
        <v>11602560251.325912</v>
      </c>
      <c r="V105" s="1">
        <f t="shared" si="63"/>
        <v>11239963495.628077</v>
      </c>
      <c r="W105" s="1">
        <f t="shared" si="63"/>
        <v>14309876869.415642</v>
      </c>
      <c r="X105" s="1">
        <f t="shared" si="63"/>
        <v>15981537818.338192</v>
      </c>
      <c r="Y105" s="1">
        <f t="shared" si="63"/>
        <v>16957721749.725262</v>
      </c>
      <c r="Z105" s="1">
        <f t="shared" si="63"/>
        <v>51668936881.838593</v>
      </c>
      <c r="AA105" s="1">
        <f t="shared" si="63"/>
        <v>21007273950.021503</v>
      </c>
      <c r="AB105" s="1">
        <f t="shared" si="63"/>
        <v>55501134382.913666</v>
      </c>
      <c r="AC105" s="1">
        <f t="shared" si="63"/>
        <v>65630334081.895935</v>
      </c>
      <c r="AD105" s="1">
        <f t="shared" si="63"/>
        <v>68794855917.626266</v>
      </c>
      <c r="AE105" s="1">
        <f t="shared" si="63"/>
        <v>62377478450.953224</v>
      </c>
      <c r="AF105" s="1">
        <f t="shared" si="63"/>
        <v>70810456973.577332</v>
      </c>
      <c r="AG105" s="1">
        <f t="shared" si="63"/>
        <v>89410306034.688705</v>
      </c>
      <c r="AH105" s="1">
        <f t="shared" si="63"/>
        <v>31373710067.370636</v>
      </c>
      <c r="AI105" s="1">
        <f t="shared" si="63"/>
        <v>36019621649.386024</v>
      </c>
      <c r="AJ105" s="1">
        <f t="shared" si="63"/>
        <v>45517283315.017441</v>
      </c>
      <c r="AK105" s="1">
        <f t="shared" si="63"/>
        <v>50875646901.42865</v>
      </c>
      <c r="AL105" s="1">
        <f t="shared" si="63"/>
        <v>63468667566.53447</v>
      </c>
      <c r="AM105" s="69">
        <f>AM107/AM3</f>
        <v>0.27759792354884377</v>
      </c>
      <c r="AN105" s="69">
        <f>AN107/AN3</f>
        <v>0.28446618460229689</v>
      </c>
      <c r="AO105" s="69">
        <f>AO107/AO3</f>
        <v>0.3069629349470499</v>
      </c>
      <c r="AP105" s="69">
        <f>AP107/AP3</f>
        <v>0.30862046632124351</v>
      </c>
      <c r="AQ105" s="69">
        <f>AQ107/AQ3</f>
        <v>0.40407784986098239</v>
      </c>
      <c r="AR105" s="70" t="s">
        <v>165</v>
      </c>
      <c r="AS105" s="74" t="s">
        <v>138</v>
      </c>
      <c r="AT105" s="74"/>
    </row>
    <row r="106" spans="1:46" ht="20" x14ac:dyDescent="0.25">
      <c r="A106" s="14" t="s">
        <v>161</v>
      </c>
      <c r="B106" s="1"/>
      <c r="C106" s="15" t="e">
        <f t="shared" ref="C106:AL106" si="64">(C107/B107)-1</f>
        <v>#VALUE!</v>
      </c>
      <c r="D106" s="15" t="e">
        <f t="shared" si="64"/>
        <v>#VALUE!</v>
      </c>
      <c r="E106" s="15" t="e">
        <f t="shared" si="64"/>
        <v>#VALUE!</v>
      </c>
      <c r="F106" s="15">
        <f t="shared" si="64"/>
        <v>-9.6919609316303501E-2</v>
      </c>
      <c r="G106" s="15">
        <f t="shared" si="64"/>
        <v>1.4417637271214643</v>
      </c>
      <c r="H106" s="15">
        <f t="shared" si="64"/>
        <v>1.0115843270868825</v>
      </c>
      <c r="I106" s="15">
        <f t="shared" si="64"/>
        <v>0.41937669376693765</v>
      </c>
      <c r="J106" s="15">
        <f t="shared" si="64"/>
        <v>0.56921241050119331</v>
      </c>
      <c r="K106" s="15">
        <f t="shared" si="64"/>
        <v>0.1368821292775666</v>
      </c>
      <c r="L106" s="15">
        <f t="shared" si="64"/>
        <v>1.1571906354515051</v>
      </c>
      <c r="M106" s="15">
        <f t="shared" si="64"/>
        <v>0.29922480620155034</v>
      </c>
      <c r="N106" s="15">
        <f t="shared" si="64"/>
        <v>0.48544152744630065</v>
      </c>
      <c r="O106" s="15">
        <f t="shared" si="64"/>
        <v>0.51783419023136257</v>
      </c>
      <c r="P106" s="15">
        <f t="shared" si="64"/>
        <v>0.38477823647718856</v>
      </c>
      <c r="Q106" s="15">
        <f t="shared" si="64"/>
        <v>-5.8324415227029469E-2</v>
      </c>
      <c r="R106" s="15">
        <f t="shared" si="64"/>
        <v>0.11526909651757444</v>
      </c>
      <c r="S106" s="15">
        <f t="shared" si="64"/>
        <v>8.49406798165806E-2</v>
      </c>
      <c r="T106" s="15">
        <f t="shared" si="64"/>
        <v>-9.3183952770696354E-2</v>
      </c>
      <c r="U106" s="15">
        <f t="shared" si="64"/>
        <v>0.16838055781608352</v>
      </c>
      <c r="V106" s="15">
        <f t="shared" si="64"/>
        <v>-0.18786804280377378</v>
      </c>
      <c r="W106" s="15">
        <f t="shared" si="64"/>
        <v>0.21097770154373929</v>
      </c>
      <c r="X106" s="15">
        <f t="shared" si="64"/>
        <v>0.18658253927375745</v>
      </c>
      <c r="Y106" s="15">
        <f t="shared" si="64"/>
        <v>-0.13629951166576237</v>
      </c>
      <c r="Z106" s="15">
        <f t="shared" si="64"/>
        <v>0.38811408468400543</v>
      </c>
      <c r="AA106" s="15">
        <f t="shared" si="64"/>
        <v>0.11508870383779879</v>
      </c>
      <c r="AB106" s="15">
        <f t="shared" si="64"/>
        <v>0.19002394577702009</v>
      </c>
      <c r="AC106" s="15">
        <f t="shared" si="64"/>
        <v>-0.1618294055455135</v>
      </c>
      <c r="AD106" s="15">
        <f t="shared" si="64"/>
        <v>8.8297526041666741E-2</v>
      </c>
      <c r="AE106" s="15">
        <f t="shared" si="64"/>
        <v>-0.13497345397442606</v>
      </c>
      <c r="AF106" s="15">
        <f t="shared" si="64"/>
        <v>7.9789073305670755E-2</v>
      </c>
      <c r="AG106" s="15">
        <f t="shared" si="64"/>
        <v>0.25602433752301668</v>
      </c>
      <c r="AH106" s="15">
        <f t="shared" si="64"/>
        <v>2.7853910383070835E-2</v>
      </c>
      <c r="AI106" s="15">
        <f t="shared" si="64"/>
        <v>0.18628302120798712</v>
      </c>
      <c r="AJ106" s="15">
        <f t="shared" si="64"/>
        <v>0.18227914270778878</v>
      </c>
      <c r="AK106" s="15">
        <f t="shared" si="64"/>
        <v>0.24061546624220709</v>
      </c>
      <c r="AL106" s="15">
        <f t="shared" si="64"/>
        <v>0.16092875726148481</v>
      </c>
      <c r="AM106" s="52">
        <f>(AM107/AL105)-1</f>
        <v>-7.3196235948460697E-2</v>
      </c>
      <c r="AN106" s="52">
        <f>(AN107/AM107)-1</f>
        <v>0.13693623242609188</v>
      </c>
      <c r="AO106" s="52">
        <f>(AO107/AN107)-1</f>
        <v>0.21356798947336952</v>
      </c>
      <c r="AP106" s="52">
        <f>(AP107/AO107)-1</f>
        <v>0.174233930089575</v>
      </c>
      <c r="AQ106" s="52">
        <f>(AQ107/AP107)-1</f>
        <v>0.37247906654634733</v>
      </c>
      <c r="AR106" s="53">
        <f>SUM(AM106:AQ106)/5</f>
        <v>0.16480419651738459</v>
      </c>
      <c r="AS106" s="34" t="s">
        <v>139</v>
      </c>
      <c r="AT106" s="54">
        <f>(AT101*AT93)+(AT103*AT98)</f>
        <v>7.92042406089985E-2</v>
      </c>
    </row>
    <row r="107" spans="1:46" ht="19" customHeight="1" x14ac:dyDescent="0.25">
      <c r="A107" s="31" t="s">
        <v>162</v>
      </c>
      <c r="B107" s="1" t="s">
        <v>91</v>
      </c>
      <c r="C107" s="1" t="s">
        <v>91</v>
      </c>
      <c r="D107" s="1" t="s">
        <v>91</v>
      </c>
      <c r="E107" s="1">
        <v>133100000</v>
      </c>
      <c r="F107" s="1">
        <v>120200000</v>
      </c>
      <c r="G107" s="1">
        <v>293500000</v>
      </c>
      <c r="H107" s="1">
        <v>590400000</v>
      </c>
      <c r="I107" s="1">
        <v>838000000</v>
      </c>
      <c r="J107" s="1">
        <v>1315000000</v>
      </c>
      <c r="K107" s="1">
        <v>1495000000</v>
      </c>
      <c r="L107" s="1">
        <v>3225000000</v>
      </c>
      <c r="M107" s="1">
        <v>4190000000</v>
      </c>
      <c r="N107" s="1">
        <v>6224000000</v>
      </c>
      <c r="O107" s="1">
        <v>9447000000</v>
      </c>
      <c r="P107" s="1">
        <v>13082000000</v>
      </c>
      <c r="Q107" s="1">
        <v>12319000000</v>
      </c>
      <c r="R107" s="1">
        <v>13739000000</v>
      </c>
      <c r="S107" s="1">
        <v>14906000000</v>
      </c>
      <c r="T107" s="1">
        <v>13517000000</v>
      </c>
      <c r="U107" s="1">
        <v>15793000000</v>
      </c>
      <c r="V107" s="1">
        <v>12826000000</v>
      </c>
      <c r="W107" s="1">
        <v>15532000000</v>
      </c>
      <c r="X107" s="1">
        <v>18430000000</v>
      </c>
      <c r="Y107" s="1">
        <v>15918000000</v>
      </c>
      <c r="Z107" s="1">
        <v>22096000000</v>
      </c>
      <c r="AA107" s="1">
        <v>24639000000</v>
      </c>
      <c r="AB107" s="1">
        <v>29321000000</v>
      </c>
      <c r="AC107" s="1">
        <v>24576000000</v>
      </c>
      <c r="AD107" s="1">
        <v>26746000000</v>
      </c>
      <c r="AE107" s="1">
        <v>23136000000</v>
      </c>
      <c r="AF107" s="1">
        <v>24982000000</v>
      </c>
      <c r="AG107" s="1">
        <v>31378000000</v>
      </c>
      <c r="AH107" s="1">
        <v>32252000000</v>
      </c>
      <c r="AI107" s="1">
        <v>38260000000</v>
      </c>
      <c r="AJ107" s="1">
        <v>45234000000</v>
      </c>
      <c r="AK107" s="1">
        <v>56118000000</v>
      </c>
      <c r="AL107" s="1">
        <v>65149000000</v>
      </c>
      <c r="AM107" s="55">
        <v>58823000000</v>
      </c>
      <c r="AN107" s="55">
        <v>66878000000</v>
      </c>
      <c r="AO107" s="55">
        <v>81161000000</v>
      </c>
      <c r="AP107" s="55">
        <v>95302000000</v>
      </c>
      <c r="AQ107" s="55">
        <v>130800000000</v>
      </c>
      <c r="AR107" s="51" t="s">
        <v>163</v>
      </c>
      <c r="AS107" s="56" t="s">
        <v>140</v>
      </c>
      <c r="AT107" s="35">
        <f>(SUM(AM4:AQ4)/5)</f>
        <v>0.1038073487208068</v>
      </c>
    </row>
    <row r="108" spans="1:46" ht="19" x14ac:dyDescent="0.2">
      <c r="AM108" s="71"/>
      <c r="AN108" s="71"/>
      <c r="AO108" s="71"/>
      <c r="AP108" s="71"/>
      <c r="AQ108" s="57">
        <f>AQ107*(1+AT108)/(AT109-AT108)</f>
        <v>2473422715523.5322</v>
      </c>
      <c r="AR108" s="58" t="s">
        <v>141</v>
      </c>
      <c r="AS108" s="59" t="s">
        <v>142</v>
      </c>
      <c r="AT108" s="36">
        <v>2.5000000000000001E-2</v>
      </c>
    </row>
    <row r="109" spans="1:46" ht="19" x14ac:dyDescent="0.2">
      <c r="AM109" s="57">
        <f t="shared" ref="AM109:AO109" si="65">AM108+AM107</f>
        <v>58823000000</v>
      </c>
      <c r="AN109" s="57">
        <f t="shared" si="65"/>
        <v>66878000000</v>
      </c>
      <c r="AO109" s="57">
        <f t="shared" si="65"/>
        <v>81161000000</v>
      </c>
      <c r="AP109" s="57">
        <f>AP108+AP107</f>
        <v>95302000000</v>
      </c>
      <c r="AQ109" s="57">
        <f>AQ108+AQ107</f>
        <v>2604222715523.5322</v>
      </c>
      <c r="AR109" s="58" t="s">
        <v>137</v>
      </c>
      <c r="AS109" s="60" t="s">
        <v>143</v>
      </c>
      <c r="AT109" s="35">
        <f>AT106</f>
        <v>7.92042406089985E-2</v>
      </c>
    </row>
    <row r="110" spans="1:46" ht="19" x14ac:dyDescent="0.2">
      <c r="AM110" s="75" t="s">
        <v>144</v>
      </c>
      <c r="AN110" s="75"/>
      <c r="AO110" s="44"/>
      <c r="AP110" s="44"/>
      <c r="AQ110" s="44"/>
      <c r="AR110" s="44"/>
      <c r="AS110" s="44"/>
      <c r="AT110" s="44"/>
    </row>
    <row r="111" spans="1:46" ht="20" x14ac:dyDescent="0.2">
      <c r="AM111" s="61" t="s">
        <v>145</v>
      </c>
      <c r="AN111" s="49">
        <f>NPV(AT109,AM109,AN109,AO109,AP109,AQ109)</f>
        <v>2025689379953.1824</v>
      </c>
      <c r="AO111" s="44"/>
      <c r="AP111" s="44"/>
      <c r="AQ111" s="44"/>
      <c r="AR111" s="44"/>
      <c r="AS111" s="44"/>
      <c r="AT111" s="44"/>
    </row>
    <row r="112" spans="1:46" ht="20" x14ac:dyDescent="0.2">
      <c r="AM112" s="61" t="s">
        <v>146</v>
      </c>
      <c r="AN112" s="49">
        <f>AL40</f>
        <v>104749000000</v>
      </c>
      <c r="AO112" s="44"/>
      <c r="AP112" s="44"/>
      <c r="AQ112" s="44"/>
      <c r="AR112" s="44"/>
      <c r="AS112" s="44"/>
      <c r="AT112" s="44"/>
    </row>
    <row r="113" spans="39:46" ht="20" x14ac:dyDescent="0.2">
      <c r="AM113" s="61" t="s">
        <v>134</v>
      </c>
      <c r="AN113" s="49">
        <f>AT100</f>
        <v>61270000000</v>
      </c>
      <c r="AO113" s="44"/>
      <c r="AP113" s="44"/>
      <c r="AQ113" s="44"/>
      <c r="AR113" s="44"/>
      <c r="AS113" s="44"/>
      <c r="AT113" s="44"/>
    </row>
    <row r="114" spans="39:46" ht="20" x14ac:dyDescent="0.2">
      <c r="AM114" s="61" t="s">
        <v>147</v>
      </c>
      <c r="AN114" s="49">
        <f>AN111+AN112-AN113</f>
        <v>2069168379953.1824</v>
      </c>
      <c r="AO114" s="44"/>
      <c r="AP114" s="44"/>
      <c r="AQ114" s="44"/>
      <c r="AR114" s="44"/>
      <c r="AS114" s="44"/>
      <c r="AT114" s="44"/>
    </row>
    <row r="115" spans="39:46" ht="20" x14ac:dyDescent="0.2">
      <c r="AM115" s="61" t="s">
        <v>148</v>
      </c>
      <c r="AN115" s="61">
        <f>AL34*(1+(5*AR16))</f>
        <v>7254679754.7058077</v>
      </c>
      <c r="AO115" s="44"/>
      <c r="AP115" s="44"/>
      <c r="AQ115" s="44"/>
      <c r="AR115" s="44"/>
      <c r="AS115" s="44"/>
      <c r="AT115" s="44"/>
    </row>
    <row r="116" spans="39:46" ht="20" x14ac:dyDescent="0.2">
      <c r="AM116" s="62" t="s">
        <v>149</v>
      </c>
      <c r="AN116" s="63">
        <f>AN114/AN115</f>
        <v>285.21843140091738</v>
      </c>
      <c r="AO116" s="44"/>
      <c r="AP116" s="44"/>
      <c r="AQ116" s="44"/>
      <c r="AR116" s="44"/>
      <c r="AS116" s="44"/>
      <c r="AT116" s="44"/>
    </row>
    <row r="117" spans="39:46" ht="20" x14ac:dyDescent="0.2">
      <c r="AM117" s="61" t="s">
        <v>150</v>
      </c>
      <c r="AN117" s="64" cm="1">
        <f t="array" ref="AN117">_FV(A1,"Price",TRUE)</f>
        <v>326.67</v>
      </c>
      <c r="AO117" s="44"/>
      <c r="AP117" s="44"/>
      <c r="AQ117" s="44"/>
      <c r="AR117" s="44"/>
      <c r="AS117" s="44"/>
      <c r="AT117" s="44"/>
    </row>
    <row r="118" spans="39:46" ht="20" x14ac:dyDescent="0.2">
      <c r="AM118" s="62" t="s">
        <v>151</v>
      </c>
      <c r="AN118" s="65">
        <f>(AN116/AN117)-1</f>
        <v>-0.12689126212717006</v>
      </c>
      <c r="AO118" s="44"/>
      <c r="AP118" s="44"/>
      <c r="AQ118" s="44"/>
      <c r="AR118" s="44"/>
      <c r="AS118" s="44"/>
      <c r="AT118" s="44"/>
    </row>
    <row r="119" spans="39:46" ht="20" x14ac:dyDescent="0.2">
      <c r="AM119" s="62" t="s">
        <v>152</v>
      </c>
      <c r="AN119" s="66" t="str">
        <f>IF(AN116&gt;AN117,"BUY","SELL")</f>
        <v>SELL</v>
      </c>
      <c r="AO119" s="44"/>
      <c r="AP119" s="44"/>
      <c r="AQ119" s="44"/>
      <c r="AR119" s="44"/>
      <c r="AS119" s="44"/>
      <c r="AT119" s="44"/>
    </row>
  </sheetData>
  <mergeCells count="7">
    <mergeCell ref="AS84:AT84"/>
    <mergeCell ref="AS85:AT85"/>
    <mergeCell ref="AM110:AN110"/>
    <mergeCell ref="AM104:AQ104"/>
    <mergeCell ref="AS105:AT105"/>
    <mergeCell ref="AS99:AT99"/>
    <mergeCell ref="AS94:AT9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 ref="AR107" r:id="rId77" xr:uid="{81B04FC1-53AD-C643-A076-210FE77F9CF7}"/>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2023-01-25T12:39:57Z</dcterms:created>
  <dcterms:modified xsi:type="dcterms:W3CDTF">2023-10-21T05:42:56Z</dcterms:modified>
</cp:coreProperties>
</file>