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2FA26B4-6290-FD4E-A1D8-49CC9C4B397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2" l="1" a="1"/>
  <c r="C19" i="2" s="1"/>
  <c r="A19" i="2" a="1"/>
  <c r="A19" i="2" s="1"/>
  <c r="K4" i="2" a="1"/>
  <c r="K4" i="2" s="1"/>
  <c r="A20" i="2" a="1"/>
  <c r="A20" i="2" s="1"/>
  <c r="S14" i="1"/>
  <c r="R14" i="1"/>
  <c r="Q14" i="1"/>
  <c r="P14" i="1"/>
  <c r="O14" i="1"/>
  <c r="N14" i="1"/>
  <c r="M14" i="1"/>
  <c r="L14" i="1"/>
  <c r="K14" i="1"/>
  <c r="J14" i="1"/>
  <c r="I14" i="1"/>
  <c r="H14" i="1"/>
  <c r="G14" i="1"/>
  <c r="F14" i="1"/>
  <c r="E14" i="1"/>
  <c r="D14" i="1"/>
  <c r="C14" i="1"/>
  <c r="B14" i="1"/>
  <c r="O10" i="2"/>
  <c r="O9" i="2"/>
  <c r="O7" i="2"/>
  <c r="O6" i="2"/>
  <c r="O5" i="2"/>
  <c r="C5" i="2"/>
  <c r="G7" i="2"/>
  <c r="G6" i="2"/>
  <c r="G5" i="2"/>
  <c r="E7" i="2"/>
  <c r="E6" i="2"/>
  <c r="C4" i="2"/>
  <c r="C3" i="2"/>
  <c r="A4" i="2"/>
  <c r="O20" i="2" a="1"/>
  <c r="O20" i="2" s="1"/>
  <c r="O15" i="2" a="1"/>
  <c r="O15" i="2" s="1"/>
  <c r="J15" i="2"/>
  <c r="I15" i="2"/>
  <c r="H15" i="2"/>
  <c r="G15" i="2"/>
  <c r="F15" i="2"/>
  <c r="E15" i="2"/>
  <c r="D15" i="2"/>
  <c r="C15" i="2"/>
  <c r="J13" i="2"/>
  <c r="I13" i="2"/>
  <c r="H13" i="2"/>
  <c r="G13" i="2"/>
  <c r="F13" i="2"/>
  <c r="E13" i="2"/>
  <c r="D13" i="2"/>
  <c r="C13" i="2"/>
  <c r="J11" i="2"/>
  <c r="I11" i="2"/>
  <c r="H11" i="2"/>
  <c r="G11" i="2"/>
  <c r="F11" i="2"/>
  <c r="E11" i="2"/>
  <c r="D11" i="2"/>
  <c r="C11" i="2"/>
  <c r="K5" i="2" a="1"/>
  <c r="K5" i="2" s="1"/>
  <c r="A5" i="2" a="1"/>
  <c r="A5" i="2" s="1"/>
  <c r="E3" i="2"/>
  <c r="A3" i="2" a="1"/>
  <c r="A3" i="2" s="1"/>
  <c r="S190" i="1"/>
  <c r="R190" i="1"/>
  <c r="Q190" i="1"/>
  <c r="P190" i="1"/>
  <c r="O190" i="1"/>
  <c r="C6" i="2" s="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G4" i="2" l="1"/>
  <c r="O11" i="2"/>
  <c r="O8" i="2"/>
  <c r="O12" i="2" s="1"/>
  <c r="K15" i="2"/>
  <c r="K13" i="2"/>
  <c r="K11" i="2"/>
  <c r="E5" i="2"/>
  <c r="E4" i="2"/>
  <c r="A7" i="2"/>
  <c r="A6" i="2"/>
  <c r="O19" i="2"/>
  <c r="O21" i="2" l="1"/>
  <c r="C7" i="2" l="1"/>
  <c r="O23" i="2"/>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<sst xmlns="http://schemas.openxmlformats.org/spreadsheetml/2006/main" count="1423" uniqueCount="250">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</sst>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4" fillId="9" borderId="10"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165" fontId="4" fillId="9" borderId="11" xfId="1" applyNumberFormat="1" applyFont="1" applyFill="1" applyBorder="1" applyAlignment="1">
      <alignment horizontal="righ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165" fontId="4" fillId="14" borderId="11" xfId="1" applyNumberFormat="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0" xfId="0" applyFont="1" applyFill="1" applyBorder="1" applyAlignment="1">
      <alignment horizontal="left" vertical="center" wrapText="1"/>
    </xf>
    <xf numFmtId="10" fontId="19"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0"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3"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4"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0" fontId="18" fillId="11" borderId="11" xfId="0" applyFont="1" applyFill="1" applyBorder="1" applyAlignment="1">
      <alignment horizontal="left" vertical="center" wrapText="1"/>
    </xf>
    <xf numFmtId="10" fontId="19"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19" fillId="11" borderId="9"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66" fontId="4" fillId="9" borderId="10"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0" fontId="14" fillId="10" borderId="5" xfId="1" applyNumberFormat="1" applyFont="1" applyFill="1" applyBorder="1" applyAlignment="1">
      <alignment horizontal="left" vertical="center" indent="1"/>
    </xf>
    <xf numFmtId="0" fontId="14" fillId="10" borderId="1" xfId="1" applyNumberFormat="1" applyFont="1" applyFill="1" applyBorder="1" applyAlignment="1">
      <alignment horizontal="left" vertical="center" indent="1"/>
    </xf>
    <xf numFmtId="0" fontId="14" fillId="10" borderId="9" xfId="1" applyNumberFormat="1" applyFont="1" applyFill="1" applyBorder="1" applyAlignment="1">
      <alignment horizontal="left" vertical="center" indent="1"/>
    </xf>
    <xf numFmtId="9" fontId="26" fillId="10" borderId="4" xfId="1" applyFont="1" applyFill="1" applyBorder="1" applyAlignment="1">
      <alignment horizontal="left" vertical="center" indent="1"/>
    </xf>
    <xf numFmtId="0" fontId="14" fillId="12" borderId="1" xfId="0" applyFont="1" applyFill="1" applyBorder="1" applyAlignment="1">
      <alignment vertical="center"/>
    </xf>
    <xf numFmtId="9" fontId="3" fillId="13" borderId="11" xfId="1" applyFont="1" applyFill="1" applyBorder="1" applyAlignment="1">
      <alignment horizontal="left" vertical="center" indent="14"/>
    </xf>
    <xf numFmtId="0" fontId="20" fillId="9" borderId="0" xfId="0" applyFont="1" applyFill="1" applyAlignment="1">
      <alignment horizontal="right" vertical="center" indent="1"/>
    </xf>
    <xf numFmtId="164" fontId="4" fillId="10" borderId="0" xfId="0" applyNumberFormat="1" applyFont="1" applyFill="1" applyAlignment="1">
      <alignment horizontal="right" vertical="center" indent="1"/>
    </xf>
    <xf numFmtId="9" fontId="4" fillId="11" borderId="1" xfId="1" applyFont="1" applyFill="1" applyBorder="1" applyAlignment="1">
      <alignment horizontal="right" vertical="center" indent="1"/>
    </xf>
    <xf numFmtId="9" fontId="4" fillId="10" borderId="1"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0" fontId="14" fillId="10" borderId="4" xfId="1" applyNumberFormat="1" applyFont="1" applyFill="1" applyBorder="1" applyAlignment="1">
      <alignment horizontal="left" vertical="center" indent="1"/>
    </xf>
    <xf numFmtId="9" fontId="14" fillId="10" borderId="4" xfId="1" applyFont="1" applyFill="1" applyBorder="1" applyAlignment="1">
      <alignment horizontal="left" vertical="center" indent="1"/>
    </xf>
    <xf numFmtId="9" fontId="14" fillId="10" borderId="1" xfId="1" applyFont="1" applyFill="1" applyBorder="1" applyAlignment="1">
      <alignment horizontal="left" vertical="center" indent="1"/>
    </xf>
    <xf numFmtId="9" fontId="14" fillId="10" borderId="12" xfId="1" applyFont="1" applyFill="1" applyBorder="1" applyAlignment="1">
      <alignment horizontal="lef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5"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1"/>
    </xf>
    <xf numFmtId="0" fontId="14" fillId="12" borderId="1" xfId="0" applyFont="1" applyFill="1" applyBorder="1" applyAlignment="1">
      <alignment horizontal="center" vertical="center" wrapText="1"/>
    </xf>
    <xf numFmtId="0" fontId="1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165.03</v>
    <v>101.1</v>
    <v>0.52349999999999997</v>
    <v>-5.74</v>
    <v>-3.5535000000000004E-2</v>
    <v>-0.79</v>
    <v>-5.071E-3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161.49</v>
    <v>Software &amp; IT Services</v>
    <v>Stock</v>
    <v>45219.953746550782</v>
    <v>0</v>
    <v>154.44999999999999</v>
    <v>5719373385</v>
    <v>QUALYS, INC.</v>
    <v>QUALYS, INC.</v>
    <v>161.49</v>
    <v>51.128399999999999</v>
    <v>161.53</v>
    <v>155.79</v>
    <v>155</v>
    <v>36712070</v>
    <v>QLYS</v>
    <v>QUALYS, INC. (XNAS:QLYS)</v>
    <v>426823</v>
    <v>341998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6"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11">
        <f>(C128/B128)-1</f>
        <v>0</v>
      </c>
      <c r="D129" s="11">
        <f>(D128/C128)-1</f>
        <v>4.5557724684730738E-2</v>
      </c>
      <c r="E129" s="11">
        <f>(E128/D128)-1</f>
        <v>3.040325107285069E-2</v>
      </c>
      <c r="F129" s="11">
        <f t="shared" ref="F129:N129" si="6">(F128/E128)-1</f>
        <v>3.7651729486730012E-2</v>
      </c>
      <c r="G129" s="11">
        <f t="shared" si="6"/>
        <v>2.4419212970301363E-2</v>
      </c>
      <c r="H129" s="11">
        <f t="shared" si="6"/>
        <v>4.1446616120916602E-2</v>
      </c>
      <c r="I129" s="11">
        <f t="shared" si="6"/>
        <v>7.6926311293593619E-2</v>
      </c>
      <c r="J129" s="11">
        <f t="shared" si="6"/>
        <v>1.0801485471428673E-2</v>
      </c>
      <c r="K129" s="11">
        <f t="shared" si="6"/>
        <v>3.3637802289241403E-3</v>
      </c>
      <c r="L129" s="11">
        <f t="shared" si="6"/>
        <v>2.717832237000728E-3</v>
      </c>
      <c r="M129" s="11">
        <f t="shared" si="6"/>
        <v>-3.5835783379294384E-3</v>
      </c>
      <c r="N129" s="11">
        <f t="shared" si="6"/>
        <v>-4.474330128860704E-2</v>
      </c>
      <c r="O129" s="11">
        <f>(O128/N128)-1</f>
        <v>-1.1482254697286032E-2</v>
      </c>
      <c r="P129" s="11"/>
      <c r="Q129" s="11">
        <f>(Q128/P128)-1</f>
        <v>-1.9987409505823117E-2</v>
      </c>
      <c r="R129" s="11">
        <f>(R128/Q128)-1</f>
        <v>-1.1482254697286032E-2</v>
      </c>
      <c r="S129" s="1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88 A22:S33 A21:N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tabSelected="1" workbookViewId="0">
      <selection activeCell="J20" sqref="J20"/>
    </sheetView>
  </sheetViews>
  <sheetFormatPr baseColWidth="10" defaultRowHeight="15" x14ac:dyDescent="0.2"/>
  <cols>
    <col min="1" max="16" width="18.83203125" customWidth="1"/>
  </cols>
  <sheetData>
    <row r="1" spans="1:16" s="113" customFormat="1" ht="22" customHeight="1" x14ac:dyDescent="0.2">
      <c r="A1" s="113" t="e" vm="1">
        <v>#VALUE!</v>
      </c>
    </row>
    <row r="2" spans="1:16" s="113" customFormat="1" ht="22" customHeight="1" x14ac:dyDescent="0.2"/>
    <row r="3" spans="1:16" ht="22" customHeight="1" x14ac:dyDescent="0.2">
      <c r="A3" s="38" cm="1">
        <f t="array" ref="A3">_FV(A1,"Market cap",TRUE)</f>
        <v>5719373385</v>
      </c>
      <c r="B3" s="50" t="s">
        <v>201</v>
      </c>
      <c r="C3" s="39">
        <f>Financials!O8*0.01</f>
        <v>0.79520000000000002</v>
      </c>
      <c r="D3" s="50" t="s">
        <v>202</v>
      </c>
      <c r="E3" s="39">
        <f>SUM(C11:E11)/3</f>
        <v>0.15081804477364327</v>
      </c>
      <c r="F3" s="89" t="s">
        <v>203</v>
      </c>
      <c r="G3" s="40">
        <f>SUM(Financials!K129:N129)/4</f>
        <v>-1.0561316790152903E-2</v>
      </c>
      <c r="H3" s="89" t="s">
        <v>204</v>
      </c>
      <c r="I3" s="41">
        <f>J14*(1+I7)/(I6-I7)</f>
        <v>6392217258.5140095</v>
      </c>
      <c r="J3" s="50" t="s">
        <v>205</v>
      </c>
      <c r="K3" s="42"/>
      <c r="L3" s="43"/>
      <c r="M3" s="44"/>
      <c r="N3" s="114" t="s">
        <v>206</v>
      </c>
      <c r="O3" s="115"/>
      <c r="P3" s="44"/>
    </row>
    <row r="4" spans="1:16" ht="22" customHeight="1" x14ac:dyDescent="0.2">
      <c r="A4" s="45">
        <f>Financials!O56-Financials!O96-Financials!O105</f>
        <v>314503000</v>
      </c>
      <c r="B4" s="88" t="s">
        <v>207</v>
      </c>
      <c r="C4" s="46">
        <f>Financials!O17*0.01</f>
        <v>0.27090000000000003</v>
      </c>
      <c r="D4" s="88" t="s">
        <v>208</v>
      </c>
      <c r="E4" s="46">
        <f>SUM(C13:E13)/3</f>
        <v>0.20582668056839573</v>
      </c>
      <c r="F4" s="90" t="s">
        <v>209</v>
      </c>
      <c r="G4" s="47">
        <f>A5*(1+(5*G3))</f>
        <v>34773430.993538655</v>
      </c>
      <c r="H4" s="91" t="s">
        <v>210</v>
      </c>
      <c r="I4" s="48">
        <f>NPV(I6,F14,G14,H14,I14,(J14+I3))</f>
        <v>5603065137.9639311</v>
      </c>
      <c r="J4" s="90" t="s">
        <v>211</v>
      </c>
      <c r="K4" s="40" cm="1">
        <f t="array" ref="K4">_FV(A1,"Change (%)",TRUE)</f>
        <v>-3.5535000000000004E-2</v>
      </c>
      <c r="L4" s="89" t="s">
        <v>249</v>
      </c>
      <c r="M4" s="44"/>
      <c r="N4" s="116" t="s">
        <v>212</v>
      </c>
      <c r="O4" s="117"/>
      <c r="P4" s="44"/>
    </row>
    <row r="5" spans="1:16" ht="22" customHeight="1" x14ac:dyDescent="0.2">
      <c r="A5" s="47" cm="1">
        <f t="array" ref="A5">_FV(A1,"Shares outstanding",TRUE)</f>
        <v>36712070</v>
      </c>
      <c r="B5" s="88" t="s">
        <v>213</v>
      </c>
      <c r="C5" s="49">
        <f>Financials!O34*0.01</f>
        <v>0.2298</v>
      </c>
      <c r="D5" s="88" t="s">
        <v>214</v>
      </c>
      <c r="E5" s="46">
        <f>SUM(C15:E15)/3</f>
        <v>9.754758650968183E-2</v>
      </c>
      <c r="F5" s="90" t="s">
        <v>215</v>
      </c>
      <c r="G5" s="47">
        <f>Financials!O56</f>
        <v>349252000</v>
      </c>
      <c r="H5" s="91" t="s">
        <v>216</v>
      </c>
      <c r="I5" s="48">
        <f>I4+G5-G6</f>
        <v>5917568137.9639311</v>
      </c>
      <c r="J5" s="90" t="s">
        <v>217</v>
      </c>
      <c r="K5" s="87" cm="1">
        <f t="array" ref="K5">_FV(A1,"Price")</f>
        <v>155.79</v>
      </c>
      <c r="L5" s="88" t="s">
        <v>218</v>
      </c>
      <c r="M5" s="44"/>
      <c r="N5" s="51" t="s">
        <v>219</v>
      </c>
      <c r="O5" s="52">
        <f>Financials!O21</f>
        <v>0</v>
      </c>
      <c r="P5" s="44"/>
    </row>
    <row r="6" spans="1:16" ht="22" customHeight="1" x14ac:dyDescent="0.2">
      <c r="A6" s="53">
        <f>O20/F10</f>
        <v>10.323778673285199</v>
      </c>
      <c r="B6" s="88" t="s">
        <v>220</v>
      </c>
      <c r="C6" s="46">
        <f>Financials!O190</f>
        <v>0.35507207678017633</v>
      </c>
      <c r="D6" s="107" t="s">
        <v>200</v>
      </c>
      <c r="E6" s="46">
        <f>Financials!O33/Financials!O126</f>
        <v>0.43489231746673501</v>
      </c>
      <c r="F6" s="88" t="s">
        <v>221</v>
      </c>
      <c r="G6" s="48">
        <f>Financials!O96+Financials!O105</f>
        <v>34749000</v>
      </c>
      <c r="H6" s="91" t="s">
        <v>222</v>
      </c>
      <c r="I6" s="54">
        <f>N25</f>
        <v>6.7332728857045457E-2</v>
      </c>
      <c r="J6" s="91" t="s">
        <v>223</v>
      </c>
      <c r="K6" s="55">
        <f>I5/G4</f>
        <v>170.17498615720405</v>
      </c>
      <c r="L6" s="56" t="s">
        <v>224</v>
      </c>
      <c r="M6" s="44"/>
      <c r="N6" s="57" t="s">
        <v>225</v>
      </c>
      <c r="O6" s="58">
        <f>Financials!O96</f>
        <v>11877000</v>
      </c>
      <c r="P6" s="44"/>
    </row>
    <row r="7" spans="1:16" ht="22" customHeight="1" x14ac:dyDescent="0.2">
      <c r="A7" s="59">
        <f>O20/F12</f>
        <v>33.252170843023258</v>
      </c>
      <c r="B7" s="106" t="s">
        <v>226</v>
      </c>
      <c r="C7" s="60">
        <f>F14/O21</f>
        <v>3.8581035498778324E-2</v>
      </c>
      <c r="D7" s="108" t="s">
        <v>227</v>
      </c>
      <c r="E7" s="61">
        <f>(Financials!O16*(1-0.25))/(Financials!O126+Financials!O105+Financials!O96)</f>
        <v>0.34165899533946825</v>
      </c>
      <c r="F7" s="106" t="s">
        <v>196</v>
      </c>
      <c r="G7" s="62">
        <f>(Financials!O96+Financials!O105)/Financials!O126</f>
        <v>0.12543950212621563</v>
      </c>
      <c r="H7" s="105" t="s">
        <v>228</v>
      </c>
      <c r="I7" s="63">
        <v>2.5000000000000001E-2</v>
      </c>
      <c r="J7" s="92" t="s">
        <v>229</v>
      </c>
      <c r="K7" s="94">
        <f>K6/K5-1</f>
        <v>9.2335747847769767E-2</v>
      </c>
      <c r="L7" s="64" t="s">
        <v>230</v>
      </c>
      <c r="M7" s="44"/>
      <c r="N7" s="57" t="s">
        <v>231</v>
      </c>
      <c r="O7" s="58">
        <f>Financials!O105</f>
        <v>22872000</v>
      </c>
      <c r="P7" s="44"/>
    </row>
    <row r="8" spans="1:16" ht="22" customHeight="1" x14ac:dyDescent="0.2">
      <c r="A8" s="65"/>
      <c r="B8" s="44"/>
      <c r="C8" s="44"/>
      <c r="D8" s="44"/>
      <c r="E8" s="44"/>
      <c r="F8" s="44"/>
      <c r="G8" s="44"/>
      <c r="H8" s="44"/>
      <c r="I8" s="44"/>
      <c r="J8" s="44"/>
      <c r="K8" s="44"/>
      <c r="L8" s="44"/>
      <c r="M8" s="44"/>
      <c r="N8" s="66" t="s">
        <v>212</v>
      </c>
      <c r="O8" s="67">
        <f>O5/(O6+O7)</f>
        <v>0</v>
      </c>
      <c r="P8" s="44"/>
    </row>
    <row r="9" spans="1:16" ht="22" customHeight="1" x14ac:dyDescent="0.2">
      <c r="A9" s="68"/>
      <c r="B9" s="95">
        <v>2019</v>
      </c>
      <c r="C9" s="95">
        <v>2020</v>
      </c>
      <c r="D9" s="95">
        <v>2021</v>
      </c>
      <c r="E9" s="95">
        <v>2022</v>
      </c>
      <c r="F9" s="99">
        <v>2023</v>
      </c>
      <c r="G9" s="100">
        <v>2024</v>
      </c>
      <c r="H9" s="100">
        <v>2025</v>
      </c>
      <c r="I9" s="100">
        <v>2026</v>
      </c>
      <c r="J9" s="100">
        <v>2027</v>
      </c>
      <c r="K9" s="69"/>
      <c r="L9" s="70"/>
      <c r="M9" s="70"/>
      <c r="N9" s="57" t="s">
        <v>232</v>
      </c>
      <c r="O9" s="58">
        <f>Financials!O25</f>
        <v>30798000</v>
      </c>
      <c r="P9" s="44"/>
    </row>
    <row r="10" spans="1:16" ht="22" customHeight="1" x14ac:dyDescent="0.2">
      <c r="A10" s="71" t="s">
        <v>233</v>
      </c>
      <c r="B10" s="96">
        <v>321607000</v>
      </c>
      <c r="C10" s="96">
        <v>362963000</v>
      </c>
      <c r="D10" s="96">
        <v>411172000</v>
      </c>
      <c r="E10" s="96">
        <v>489723000</v>
      </c>
      <c r="F10" s="101">
        <v>554000000</v>
      </c>
      <c r="G10" s="96">
        <v>621500000</v>
      </c>
      <c r="H10" s="96">
        <v>690000000</v>
      </c>
      <c r="I10" s="96">
        <v>783400000</v>
      </c>
      <c r="J10" s="96">
        <v>866000000</v>
      </c>
      <c r="K10" s="72" t="s">
        <v>234</v>
      </c>
      <c r="N10" s="57" t="s">
        <v>235</v>
      </c>
      <c r="O10" s="58">
        <f>Financials!O24</f>
        <v>151271000</v>
      </c>
      <c r="P10" s="44"/>
    </row>
    <row r="11" spans="1:16" ht="22" customHeight="1" x14ac:dyDescent="0.2">
      <c r="A11" s="73"/>
      <c r="B11" s="97"/>
      <c r="C11" s="97">
        <f t="shared" ref="C11:J11" si="0">(C10/B10)-1</f>
        <v>0.12859172841387156</v>
      </c>
      <c r="D11" s="97">
        <f t="shared" si="0"/>
        <v>0.13282070073258145</v>
      </c>
      <c r="E11" s="97">
        <f t="shared" si="0"/>
        <v>0.19104170517447683</v>
      </c>
      <c r="F11" s="102">
        <f t="shared" si="0"/>
        <v>0.13125174843738185</v>
      </c>
      <c r="G11" s="97">
        <f t="shared" si="0"/>
        <v>0.12184115523465699</v>
      </c>
      <c r="H11" s="97">
        <f t="shared" si="0"/>
        <v>0.11021721641190663</v>
      </c>
      <c r="I11" s="97">
        <f t="shared" si="0"/>
        <v>0.1353623188405797</v>
      </c>
      <c r="J11" s="97">
        <f t="shared" si="0"/>
        <v>0.10543783507786575</v>
      </c>
      <c r="K11" s="75">
        <f>SUM(F11:J11)/5</f>
        <v>0.12082205480047818</v>
      </c>
      <c r="L11" s="70"/>
      <c r="M11" s="70"/>
      <c r="N11" s="57" t="s">
        <v>236</v>
      </c>
      <c r="O11" s="76">
        <f>O9/O10</f>
        <v>0.20359487277799446</v>
      </c>
      <c r="P11" s="44"/>
    </row>
    <row r="12" spans="1:16" ht="22" customHeight="1" x14ac:dyDescent="0.2">
      <c r="A12" s="71" t="s">
        <v>142</v>
      </c>
      <c r="B12" s="96">
        <v>69336000</v>
      </c>
      <c r="C12" s="96">
        <v>91572000</v>
      </c>
      <c r="D12" s="96">
        <v>70960000</v>
      </c>
      <c r="E12" s="96">
        <v>107992000</v>
      </c>
      <c r="F12" s="101">
        <v>172000000</v>
      </c>
      <c r="G12" s="96">
        <v>184000000</v>
      </c>
      <c r="H12" s="96">
        <v>200000000</v>
      </c>
      <c r="I12" s="96">
        <v>264000000</v>
      </c>
      <c r="J12" s="96">
        <v>301000000</v>
      </c>
      <c r="K12" s="72" t="s">
        <v>237</v>
      </c>
      <c r="L12" s="70"/>
      <c r="M12" s="70"/>
      <c r="N12" s="77" t="s">
        <v>238</v>
      </c>
      <c r="O12" s="78">
        <f>O8*(1-O11)</f>
        <v>0</v>
      </c>
      <c r="P12" s="44"/>
    </row>
    <row r="13" spans="1:16" ht="22" customHeight="1" x14ac:dyDescent="0.2">
      <c r="A13" s="73"/>
      <c r="B13" s="97"/>
      <c r="C13" s="97">
        <f t="shared" ref="C13:J13" si="1">(C12/B12)-1</f>
        <v>0.32069920387677397</v>
      </c>
      <c r="D13" s="97">
        <f t="shared" si="1"/>
        <v>-0.22509063905997462</v>
      </c>
      <c r="E13" s="97">
        <f t="shared" si="1"/>
        <v>0.52187147688838786</v>
      </c>
      <c r="F13" s="102">
        <f t="shared" si="1"/>
        <v>0.59271057115341885</v>
      </c>
      <c r="G13" s="97">
        <f t="shared" si="1"/>
        <v>6.9767441860465018E-2</v>
      </c>
      <c r="H13" s="97">
        <f t="shared" si="1"/>
        <v>8.6956521739130377E-2</v>
      </c>
      <c r="I13" s="97">
        <f t="shared" si="1"/>
        <v>0.32000000000000006</v>
      </c>
      <c r="J13" s="97">
        <f t="shared" si="1"/>
        <v>0.14015151515151514</v>
      </c>
      <c r="K13" s="75">
        <f>SUM(F13:J13)/5</f>
        <v>0.24191720998090588</v>
      </c>
      <c r="L13" s="70"/>
      <c r="M13" s="70"/>
      <c r="N13" s="116" t="s">
        <v>239</v>
      </c>
      <c r="O13" s="117"/>
      <c r="P13" s="44"/>
    </row>
    <row r="14" spans="1:16" ht="22" customHeight="1" x14ac:dyDescent="0.2">
      <c r="A14" s="71" t="s">
        <v>185</v>
      </c>
      <c r="B14" s="96">
        <v>133125890</v>
      </c>
      <c r="C14" s="96">
        <v>150057077</v>
      </c>
      <c r="D14" s="96">
        <v>174962000</v>
      </c>
      <c r="E14" s="96">
        <v>174873000</v>
      </c>
      <c r="F14" s="101">
        <v>222000000</v>
      </c>
      <c r="G14" s="96">
        <v>230000000</v>
      </c>
      <c r="H14" s="96">
        <v>250400000</v>
      </c>
      <c r="I14" s="96">
        <v>236000000</v>
      </c>
      <c r="J14" s="96">
        <v>264000000</v>
      </c>
      <c r="K14" s="72" t="s">
        <v>240</v>
      </c>
      <c r="L14" s="70"/>
      <c r="M14" s="70"/>
      <c r="N14" s="57" t="s">
        <v>241</v>
      </c>
      <c r="O14" s="76">
        <f>'[1]US Treasury Bonds'!$C$8</f>
        <v>4.9880000000000008E-2</v>
      </c>
      <c r="P14" s="44"/>
    </row>
    <row r="15" spans="1:16" ht="22" customHeight="1" x14ac:dyDescent="0.2">
      <c r="A15" s="79"/>
      <c r="B15" s="97"/>
      <c r="C15" s="97">
        <f t="shared" ref="C15:J15" si="2">(C14/B14)-1</f>
        <v>0.12718177508522199</v>
      </c>
      <c r="D15" s="97">
        <f t="shared" si="2"/>
        <v>0.16596966632903287</v>
      </c>
      <c r="E15" s="97">
        <f t="shared" si="2"/>
        <v>-5.0868188520936108E-4</v>
      </c>
      <c r="F15" s="102">
        <f t="shared" si="2"/>
        <v>0.26949271757218085</v>
      </c>
      <c r="G15" s="97">
        <f t="shared" si="2"/>
        <v>3.6036036036036112E-2</v>
      </c>
      <c r="H15" s="97">
        <f t="shared" si="2"/>
        <v>8.8695652173913064E-2</v>
      </c>
      <c r="I15" s="97">
        <f t="shared" si="2"/>
        <v>-5.7507987220447254E-2</v>
      </c>
      <c r="J15" s="97">
        <f t="shared" si="2"/>
        <v>0.11864406779661008</v>
      </c>
      <c r="K15" s="75">
        <f>SUM(F15:J15)/5</f>
        <v>9.1072097271658575E-2</v>
      </c>
      <c r="L15" s="70"/>
      <c r="M15" s="70"/>
      <c r="N15" s="57" t="s">
        <v>242</v>
      </c>
      <c r="O15" s="80" cm="1">
        <f t="array" ref="O15">_FV(A1,"Beta")</f>
        <v>0.52349999999999997</v>
      </c>
      <c r="P15" s="44"/>
    </row>
    <row r="16" spans="1:16" ht="22" customHeight="1" x14ac:dyDescent="0.2">
      <c r="A16" s="71" t="s">
        <v>196</v>
      </c>
      <c r="B16" s="98">
        <v>0.1235851724476089</v>
      </c>
      <c r="C16" s="98">
        <v>0.15695544479424234</v>
      </c>
      <c r="D16" s="98">
        <v>0.1355263212127707</v>
      </c>
      <c r="E16" s="98">
        <v>0.29552458422625338</v>
      </c>
      <c r="F16" s="103"/>
      <c r="G16" s="104"/>
      <c r="H16" s="104"/>
      <c r="I16" s="104"/>
      <c r="J16" s="104"/>
      <c r="K16" s="81"/>
      <c r="L16" s="70"/>
      <c r="M16" s="70"/>
      <c r="N16" s="57" t="s">
        <v>243</v>
      </c>
      <c r="O16" s="76">
        <v>8.4000000000000005E-2</v>
      </c>
      <c r="P16" s="44"/>
    </row>
    <row r="17" spans="1:16" ht="22" customHeight="1" x14ac:dyDescent="0.2">
      <c r="A17" s="70"/>
      <c r="B17" s="74"/>
      <c r="C17" s="74"/>
      <c r="D17" s="74"/>
      <c r="E17" s="74"/>
      <c r="F17" s="70"/>
      <c r="G17" s="70"/>
      <c r="H17" s="70"/>
      <c r="I17" s="70"/>
      <c r="J17" s="70"/>
      <c r="K17" s="70"/>
      <c r="L17" s="70"/>
      <c r="M17" s="70"/>
      <c r="N17" s="82" t="s">
        <v>239</v>
      </c>
      <c r="O17" s="83">
        <f>(O14)+((O15)*(O16-O14))</f>
        <v>6.7741820000000008E-2</v>
      </c>
      <c r="P17" s="44"/>
    </row>
    <row r="18" spans="1:16" ht="22" customHeight="1" x14ac:dyDescent="0.2">
      <c r="A18" s="70"/>
      <c r="B18" s="70"/>
      <c r="C18" s="70"/>
      <c r="D18" s="70"/>
      <c r="E18" s="70"/>
      <c r="F18" s="70"/>
      <c r="G18" s="70"/>
      <c r="H18" s="70"/>
      <c r="I18" s="70"/>
      <c r="J18" s="70"/>
      <c r="K18" s="70"/>
      <c r="L18" s="70"/>
      <c r="M18" s="70"/>
      <c r="N18" s="116" t="s">
        <v>244</v>
      </c>
      <c r="O18" s="117"/>
      <c r="P18" s="44"/>
    </row>
    <row r="19" spans="1:16" ht="22" customHeight="1" x14ac:dyDescent="0.2">
      <c r="A19" s="119" t="str" cm="1">
        <f t="array" ref="A19">_FV(A1,"Industry")</f>
        <v>Software &amp; IT Services</v>
      </c>
      <c r="B19" s="119"/>
      <c r="C19" s="120" cm="1">
        <f t="array" ref="C19">_FV(A1,"Year incorporated",TRUE)</f>
        <v>1999</v>
      </c>
      <c r="D19" s="120"/>
      <c r="E19" s="93"/>
      <c r="F19" s="70"/>
      <c r="G19" s="70"/>
      <c r="H19" s="70"/>
      <c r="I19" s="70"/>
      <c r="J19" s="70"/>
      <c r="K19" s="70"/>
      <c r="L19" s="70"/>
      <c r="M19" s="70"/>
      <c r="N19" s="57" t="s">
        <v>222</v>
      </c>
      <c r="O19" s="84">
        <f>O6+O7</f>
        <v>34749000</v>
      </c>
      <c r="P19" s="44"/>
    </row>
    <row r="20" spans="1:16" ht="22" customHeight="1" x14ac:dyDescent="0.2">
      <c r="A20" s="118" t="str" cm="1">
        <f t="array" ref="A20">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0" s="118"/>
      <c r="C20" s="118"/>
      <c r="D20" s="118"/>
      <c r="E20" s="118"/>
      <c r="F20" s="70"/>
      <c r="G20" s="70"/>
      <c r="H20" s="70"/>
      <c r="I20" s="70"/>
      <c r="J20" s="70"/>
      <c r="K20" s="70"/>
      <c r="L20" s="70"/>
      <c r="M20" s="70"/>
      <c r="N20" s="57" t="s">
        <v>201</v>
      </c>
      <c r="O20" s="84" cm="1">
        <f t="array" ref="O20">_FV(A1,"Market cap",TRUE)</f>
        <v>5719373385</v>
      </c>
      <c r="P20" s="44"/>
    </row>
    <row r="21" spans="1:16" ht="22" customHeight="1" x14ac:dyDescent="0.2">
      <c r="A21" s="118"/>
      <c r="B21" s="118"/>
      <c r="C21" s="118"/>
      <c r="D21" s="118"/>
      <c r="E21" s="118"/>
      <c r="F21" s="70"/>
      <c r="G21" s="70"/>
      <c r="H21" s="70"/>
      <c r="I21" s="70"/>
      <c r="J21" s="70"/>
      <c r="K21" s="70"/>
      <c r="M21" s="70"/>
      <c r="N21" s="57" t="s">
        <v>245</v>
      </c>
      <c r="O21" s="84">
        <f>O19+O20</f>
        <v>5754122385</v>
      </c>
      <c r="P21" s="44"/>
    </row>
    <row r="22" spans="1:16" ht="22" customHeight="1" x14ac:dyDescent="0.2">
      <c r="A22" s="118"/>
      <c r="B22" s="118"/>
      <c r="C22" s="118"/>
      <c r="D22" s="118"/>
      <c r="E22" s="118"/>
      <c r="F22" s="70"/>
      <c r="G22" s="70"/>
      <c r="H22" s="70"/>
      <c r="I22" s="70"/>
      <c r="J22" s="70"/>
      <c r="K22" s="70"/>
      <c r="L22" s="70"/>
      <c r="M22" s="70"/>
      <c r="N22" s="66" t="s">
        <v>246</v>
      </c>
      <c r="O22" s="85">
        <f>(O19/O21)</f>
        <v>6.0389747862479642E-3</v>
      </c>
      <c r="P22" s="44"/>
    </row>
    <row r="23" spans="1:16" ht="22" customHeight="1" x14ac:dyDescent="0.2">
      <c r="A23" s="118"/>
      <c r="B23" s="118"/>
      <c r="C23" s="118"/>
      <c r="D23" s="118"/>
      <c r="E23" s="118"/>
      <c r="F23" s="70"/>
      <c r="G23" s="70"/>
      <c r="H23" s="70"/>
      <c r="I23" s="70"/>
      <c r="J23" s="70"/>
      <c r="K23" s="70"/>
      <c r="L23" s="70"/>
      <c r="M23" s="70"/>
      <c r="N23" s="82" t="s">
        <v>247</v>
      </c>
      <c r="O23" s="86">
        <f>O20/O21</f>
        <v>0.99396102521375207</v>
      </c>
      <c r="P23" s="44"/>
    </row>
    <row r="24" spans="1:16" ht="22" customHeight="1" x14ac:dyDescent="0.2">
      <c r="A24" s="118"/>
      <c r="B24" s="118"/>
      <c r="C24" s="118"/>
      <c r="D24" s="118"/>
      <c r="E24" s="118"/>
      <c r="F24" s="70"/>
      <c r="G24" s="70"/>
      <c r="H24" s="70"/>
      <c r="I24" s="70"/>
      <c r="J24" s="70"/>
      <c r="K24" s="70"/>
      <c r="L24" s="70"/>
      <c r="M24" s="70"/>
      <c r="N24" s="109" t="s">
        <v>248</v>
      </c>
      <c r="O24" s="110"/>
      <c r="P24" s="44"/>
    </row>
    <row r="25" spans="1:16" ht="22" customHeight="1" x14ac:dyDescent="0.2">
      <c r="A25" s="118"/>
      <c r="B25" s="118"/>
      <c r="C25" s="118"/>
      <c r="D25" s="118"/>
      <c r="E25" s="118"/>
      <c r="F25" s="70"/>
      <c r="G25" s="70"/>
      <c r="H25" s="70"/>
      <c r="I25" s="70"/>
      <c r="J25" s="70"/>
      <c r="K25" s="70"/>
      <c r="L25" s="70"/>
      <c r="M25" s="70"/>
      <c r="N25" s="111">
        <f>(O22*O12)+(O23*O17)</f>
        <v>6.7332728857045457E-2</v>
      </c>
      <c r="O25" s="112"/>
      <c r="P25" s="44"/>
    </row>
    <row r="26" spans="1:16" ht="22" customHeight="1" x14ac:dyDescent="0.2">
      <c r="A26" s="70"/>
      <c r="B26" s="70"/>
      <c r="C26" s="70"/>
      <c r="D26" s="70"/>
      <c r="E26" s="70"/>
      <c r="F26" s="70"/>
      <c r="G26" s="70"/>
      <c r="H26" s="70"/>
      <c r="I26" s="70"/>
      <c r="J26" s="70"/>
      <c r="K26" s="70"/>
      <c r="L26" s="70"/>
      <c r="M26" s="70"/>
      <c r="N26" s="70"/>
      <c r="O26" s="44"/>
      <c r="P26" s="44"/>
    </row>
    <row r="27" spans="1:16" ht="22" customHeight="1" x14ac:dyDescent="0.2">
      <c r="A27" s="70"/>
      <c r="B27" s="70"/>
      <c r="C27" s="70"/>
      <c r="D27" s="70"/>
      <c r="E27" s="70"/>
      <c r="F27" s="70"/>
      <c r="G27" s="70"/>
      <c r="H27" s="70"/>
      <c r="I27" s="70"/>
      <c r="J27" s="70"/>
      <c r="K27" s="70"/>
      <c r="L27" s="70"/>
      <c r="M27" s="70"/>
      <c r="N27" s="70"/>
      <c r="O27" s="44"/>
      <c r="P27" s="44"/>
    </row>
    <row r="28" spans="1:16" ht="22" customHeight="1" x14ac:dyDescent="0.2">
      <c r="A28" s="70"/>
      <c r="B28" s="70"/>
      <c r="C28" s="70"/>
      <c r="D28" s="70"/>
      <c r="E28" s="70"/>
      <c r="F28" s="70"/>
      <c r="G28" s="70"/>
      <c r="H28" s="70"/>
      <c r="I28" s="70"/>
      <c r="J28" s="70"/>
      <c r="K28" s="70"/>
      <c r="L28" s="70"/>
      <c r="M28" s="70"/>
      <c r="N28" s="70"/>
      <c r="O28" s="44"/>
      <c r="P28" s="44"/>
    </row>
    <row r="29" spans="1:16" ht="22" customHeight="1" x14ac:dyDescent="0.2">
      <c r="A29" s="70"/>
      <c r="B29" s="70"/>
      <c r="C29" s="70"/>
      <c r="D29" s="70"/>
      <c r="E29" s="70"/>
      <c r="F29" s="70"/>
      <c r="G29" s="70"/>
      <c r="H29" s="70"/>
      <c r="I29" s="70"/>
      <c r="J29" s="70"/>
      <c r="K29" s="70"/>
      <c r="L29" s="70"/>
      <c r="M29" s="70"/>
      <c r="N29" s="70"/>
      <c r="O29" s="44"/>
      <c r="P29" s="44"/>
    </row>
    <row r="30" spans="1:16" ht="22" customHeight="1" x14ac:dyDescent="0.2">
      <c r="A30" s="70"/>
      <c r="B30" s="70"/>
      <c r="C30" s="70"/>
      <c r="D30" s="70"/>
      <c r="E30" s="70"/>
      <c r="F30" s="70"/>
      <c r="G30" s="70"/>
      <c r="H30" s="70"/>
      <c r="I30" s="70"/>
      <c r="J30" s="70"/>
      <c r="K30" s="70"/>
      <c r="L30" s="70"/>
      <c r="M30" s="70"/>
      <c r="N30" s="70"/>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70"/>
      <c r="B33" s="70"/>
      <c r="C33" s="70"/>
      <c r="D33" s="70"/>
      <c r="E33" s="70"/>
      <c r="F33" s="70"/>
      <c r="G33" s="70"/>
      <c r="H33" s="70"/>
      <c r="I33" s="70"/>
      <c r="J33" s="70"/>
      <c r="K33" s="70"/>
      <c r="L33" s="70"/>
      <c r="M33" s="70"/>
      <c r="N33" s="70"/>
      <c r="O33" s="70"/>
      <c r="P33" s="70"/>
    </row>
    <row r="34" spans="1:16" x14ac:dyDescent="0.2">
      <c r="A34" s="70"/>
      <c r="B34" s="70"/>
      <c r="C34" s="70"/>
      <c r="D34" s="70"/>
      <c r="E34" s="70"/>
      <c r="F34" s="70"/>
      <c r="G34" s="70"/>
      <c r="H34" s="70"/>
      <c r="I34" s="70"/>
      <c r="J34" s="70"/>
      <c r="K34" s="70"/>
      <c r="L34" s="70"/>
      <c r="M34" s="70"/>
      <c r="N34" s="70"/>
      <c r="O34" s="70"/>
      <c r="P34" s="70"/>
    </row>
    <row r="35" spans="1:16" x14ac:dyDescent="0.2">
      <c r="A35" s="70"/>
      <c r="B35" s="70"/>
      <c r="C35" s="70"/>
      <c r="D35" s="70"/>
      <c r="E35" s="70"/>
      <c r="F35" s="70"/>
      <c r="G35" s="70"/>
      <c r="H35" s="70"/>
      <c r="I35" s="70"/>
      <c r="J35" s="70"/>
      <c r="K35" s="70"/>
      <c r="L35" s="70"/>
      <c r="M35" s="70"/>
      <c r="N35" s="70"/>
      <c r="O35" s="70"/>
      <c r="P35" s="70"/>
    </row>
    <row r="36" spans="1:16" x14ac:dyDescent="0.2">
      <c r="A36" s="70"/>
      <c r="B36" s="70"/>
      <c r="C36" s="70"/>
      <c r="D36" s="70"/>
      <c r="E36" s="70"/>
      <c r="F36" s="70"/>
      <c r="G36" s="70"/>
      <c r="H36" s="70"/>
      <c r="I36" s="70"/>
      <c r="J36" s="70"/>
      <c r="K36" s="70"/>
      <c r="L36" s="70"/>
      <c r="M36" s="70"/>
      <c r="N36" s="70"/>
      <c r="O36" s="70"/>
      <c r="P36" s="70"/>
    </row>
    <row r="37" spans="1:16" x14ac:dyDescent="0.2">
      <c r="A37" s="70"/>
      <c r="B37" s="70"/>
      <c r="C37" s="70"/>
      <c r="D37" s="70"/>
      <c r="E37" s="70"/>
      <c r="F37" s="70"/>
      <c r="G37" s="70"/>
      <c r="H37" s="70"/>
      <c r="I37" s="70"/>
      <c r="J37" s="70"/>
      <c r="K37" s="70"/>
      <c r="L37" s="70"/>
      <c r="M37" s="70"/>
      <c r="N37" s="70"/>
      <c r="O37" s="70"/>
      <c r="P37" s="70"/>
    </row>
    <row r="38" spans="1:16" x14ac:dyDescent="0.2">
      <c r="A38" s="70"/>
      <c r="B38" s="70"/>
      <c r="C38" s="70"/>
      <c r="D38" s="70"/>
      <c r="E38" s="70"/>
      <c r="F38" s="70"/>
      <c r="G38" s="70"/>
      <c r="H38" s="70"/>
      <c r="I38" s="70"/>
      <c r="J38" s="70"/>
      <c r="K38" s="70"/>
      <c r="L38" s="70"/>
      <c r="M38" s="70"/>
      <c r="N38" s="70"/>
      <c r="O38" s="70"/>
      <c r="P38" s="70"/>
    </row>
    <row r="39" spans="1:16" x14ac:dyDescent="0.2">
      <c r="A39" s="70"/>
      <c r="B39" s="70"/>
      <c r="C39" s="70"/>
      <c r="D39" s="70"/>
      <c r="E39" s="70"/>
      <c r="F39" s="70"/>
      <c r="G39" s="70"/>
      <c r="H39" s="70"/>
      <c r="I39" s="70"/>
      <c r="J39" s="70"/>
      <c r="K39" s="70"/>
      <c r="L39" s="70"/>
      <c r="M39" s="70"/>
      <c r="N39" s="70"/>
      <c r="O39" s="70"/>
      <c r="P39" s="70"/>
    </row>
    <row r="40" spans="1:16" x14ac:dyDescent="0.2">
      <c r="A40" s="70"/>
      <c r="B40" s="70"/>
      <c r="C40" s="70"/>
      <c r="D40" s="70"/>
      <c r="E40" s="70"/>
      <c r="F40" s="70"/>
      <c r="G40" s="70"/>
      <c r="H40" s="70"/>
      <c r="I40" s="70"/>
      <c r="J40" s="70"/>
      <c r="K40" s="70"/>
      <c r="L40" s="70"/>
      <c r="M40" s="70"/>
      <c r="N40" s="70"/>
      <c r="O40" s="70"/>
      <c r="P40" s="70"/>
    </row>
    <row r="41" spans="1:16" x14ac:dyDescent="0.2">
      <c r="A41" s="70"/>
      <c r="B41" s="70"/>
      <c r="C41" s="70"/>
      <c r="D41" s="70"/>
      <c r="E41" s="70"/>
      <c r="F41" s="70"/>
      <c r="G41" s="70"/>
      <c r="H41" s="70"/>
      <c r="I41" s="70"/>
      <c r="J41" s="70"/>
      <c r="K41" s="70"/>
      <c r="L41" s="70"/>
      <c r="M41" s="70"/>
      <c r="N41" s="70"/>
      <c r="O41" s="70"/>
      <c r="P41" s="70"/>
    </row>
    <row r="42" spans="1:16" x14ac:dyDescent="0.2">
      <c r="A42" s="70"/>
      <c r="B42" s="70"/>
      <c r="C42" s="70"/>
      <c r="D42" s="70"/>
      <c r="E42" s="70"/>
      <c r="F42" s="70"/>
      <c r="G42" s="70"/>
      <c r="H42" s="70"/>
      <c r="I42" s="70"/>
      <c r="J42" s="70"/>
      <c r="K42" s="70"/>
      <c r="L42" s="70"/>
      <c r="M42" s="70"/>
      <c r="N42" s="70"/>
      <c r="O42" s="70"/>
      <c r="P42" s="70"/>
    </row>
    <row r="43" spans="1:16" x14ac:dyDescent="0.2">
      <c r="A43" s="70"/>
      <c r="B43" s="70"/>
      <c r="C43" s="70"/>
      <c r="D43" s="70"/>
      <c r="E43" s="70"/>
      <c r="F43" s="70"/>
      <c r="G43" s="70"/>
      <c r="H43" s="70"/>
      <c r="I43" s="70"/>
      <c r="J43" s="70"/>
      <c r="K43" s="70"/>
      <c r="L43" s="70"/>
      <c r="M43" s="70"/>
      <c r="N43" s="70"/>
      <c r="O43" s="70"/>
      <c r="P43" s="70"/>
    </row>
    <row r="44" spans="1:16" x14ac:dyDescent="0.2">
      <c r="A44" s="70"/>
      <c r="B44" s="70"/>
      <c r="C44" s="70"/>
      <c r="D44" s="70"/>
      <c r="E44" s="70"/>
      <c r="F44" s="70"/>
      <c r="G44" s="70"/>
      <c r="H44" s="70"/>
      <c r="I44" s="70"/>
      <c r="J44" s="70"/>
      <c r="K44" s="70"/>
      <c r="L44" s="70"/>
      <c r="M44" s="70"/>
      <c r="N44" s="70"/>
      <c r="O44" s="70"/>
      <c r="P44" s="70"/>
    </row>
    <row r="45" spans="1:16" x14ac:dyDescent="0.2">
      <c r="A45" s="70"/>
      <c r="B45" s="70"/>
      <c r="C45" s="70"/>
      <c r="D45" s="70"/>
      <c r="E45" s="70"/>
      <c r="F45" s="70"/>
      <c r="G45" s="70"/>
      <c r="H45" s="70"/>
      <c r="I45" s="70"/>
      <c r="J45" s="70"/>
      <c r="K45" s="70"/>
      <c r="L45" s="70"/>
      <c r="M45" s="70"/>
      <c r="N45" s="70"/>
      <c r="O45" s="70"/>
      <c r="P45" s="70"/>
    </row>
    <row r="46" spans="1:16" x14ac:dyDescent="0.2">
      <c r="A46" s="70"/>
      <c r="B46" s="70"/>
      <c r="C46" s="70"/>
      <c r="D46" s="70"/>
      <c r="E46" s="70"/>
      <c r="F46" s="70"/>
      <c r="G46" s="70"/>
      <c r="H46" s="70"/>
      <c r="I46" s="70"/>
      <c r="J46" s="70"/>
      <c r="K46" s="70"/>
      <c r="L46" s="70"/>
      <c r="M46" s="70"/>
      <c r="N46" s="70"/>
      <c r="O46" s="70"/>
      <c r="P46" s="70"/>
    </row>
    <row r="47" spans="1:16" x14ac:dyDescent="0.2">
      <c r="A47" s="70"/>
      <c r="B47" s="70"/>
      <c r="C47" s="70"/>
      <c r="D47" s="70"/>
      <c r="E47" s="70"/>
      <c r="F47" s="70"/>
      <c r="G47" s="70"/>
      <c r="H47" s="70"/>
      <c r="I47" s="70"/>
      <c r="J47" s="70"/>
      <c r="K47" s="70"/>
      <c r="L47" s="70"/>
      <c r="M47" s="70"/>
      <c r="N47" s="70"/>
      <c r="O47" s="70"/>
      <c r="P47" s="70"/>
    </row>
    <row r="48" spans="1:16" x14ac:dyDescent="0.2">
      <c r="A48" s="70"/>
      <c r="B48" s="70"/>
      <c r="C48" s="70"/>
      <c r="D48" s="70"/>
      <c r="E48" s="70"/>
      <c r="F48" s="70"/>
      <c r="G48" s="70"/>
      <c r="H48" s="70"/>
      <c r="I48" s="70"/>
      <c r="J48" s="70"/>
      <c r="K48" s="70"/>
      <c r="L48" s="70"/>
      <c r="M48" s="70"/>
      <c r="N48" s="70"/>
      <c r="O48" s="70"/>
      <c r="P48" s="70"/>
    </row>
    <row r="49" spans="1:16" x14ac:dyDescent="0.2">
      <c r="A49" s="70"/>
      <c r="B49" s="70"/>
      <c r="C49" s="70"/>
      <c r="D49" s="70"/>
      <c r="E49" s="70"/>
      <c r="F49" s="70"/>
      <c r="G49" s="70"/>
      <c r="H49" s="70"/>
      <c r="I49" s="70"/>
      <c r="J49" s="70"/>
      <c r="K49" s="70"/>
      <c r="L49" s="70"/>
      <c r="M49" s="70"/>
      <c r="N49" s="70"/>
      <c r="O49" s="70"/>
      <c r="P49" s="70"/>
    </row>
    <row r="50" spans="1:16" x14ac:dyDescent="0.2">
      <c r="A50" s="70"/>
      <c r="B50" s="70"/>
      <c r="C50" s="70"/>
      <c r="D50" s="70"/>
      <c r="E50" s="70"/>
      <c r="F50" s="70"/>
      <c r="G50" s="70"/>
      <c r="H50" s="70"/>
      <c r="I50" s="70"/>
      <c r="J50" s="70"/>
      <c r="K50" s="70"/>
      <c r="L50" s="70"/>
      <c r="M50" s="70"/>
      <c r="N50" s="70"/>
      <c r="O50" s="70"/>
      <c r="P50" s="70"/>
    </row>
    <row r="51" spans="1:16" x14ac:dyDescent="0.2">
      <c r="A51" s="70"/>
      <c r="B51" s="70"/>
      <c r="C51" s="70"/>
      <c r="D51" s="70"/>
      <c r="E51" s="70"/>
      <c r="F51" s="70"/>
      <c r="G51" s="70"/>
      <c r="H51" s="70"/>
      <c r="I51" s="70"/>
      <c r="J51" s="70"/>
      <c r="K51" s="70"/>
      <c r="L51" s="70"/>
      <c r="M51" s="70"/>
      <c r="N51" s="70"/>
      <c r="O51" s="70"/>
      <c r="P51" s="70"/>
    </row>
    <row r="52" spans="1:16" x14ac:dyDescent="0.2">
      <c r="A52" s="70"/>
      <c r="B52" s="70"/>
      <c r="C52" s="70"/>
      <c r="D52" s="70"/>
      <c r="E52" s="70"/>
      <c r="F52" s="70"/>
      <c r="G52" s="70"/>
      <c r="H52" s="70"/>
      <c r="I52" s="70"/>
      <c r="J52" s="70"/>
      <c r="K52" s="70"/>
      <c r="L52" s="70"/>
      <c r="M52" s="70"/>
      <c r="N52" s="70"/>
      <c r="O52" s="70"/>
      <c r="P52" s="70"/>
    </row>
    <row r="53" spans="1:16" x14ac:dyDescent="0.2">
      <c r="A53" s="70"/>
      <c r="B53" s="70"/>
      <c r="C53" s="70"/>
      <c r="D53" s="70"/>
      <c r="E53" s="70"/>
      <c r="F53" s="70"/>
      <c r="G53" s="70"/>
      <c r="H53" s="70"/>
      <c r="I53" s="70"/>
      <c r="J53" s="70"/>
      <c r="K53" s="70"/>
      <c r="L53" s="70"/>
      <c r="M53" s="70"/>
      <c r="N53" s="70"/>
      <c r="O53" s="70"/>
      <c r="P53" s="70"/>
    </row>
    <row r="54" spans="1:16" x14ac:dyDescent="0.2">
      <c r="A54" s="70"/>
      <c r="B54" s="70"/>
      <c r="C54" s="70"/>
      <c r="D54" s="70"/>
      <c r="E54" s="70"/>
      <c r="F54" s="70"/>
      <c r="G54" s="70"/>
      <c r="H54" s="70"/>
      <c r="I54" s="70"/>
      <c r="J54" s="70"/>
      <c r="K54" s="70"/>
      <c r="L54" s="70"/>
      <c r="M54" s="70"/>
      <c r="N54" s="70"/>
      <c r="O54" s="70"/>
      <c r="P54" s="70"/>
    </row>
    <row r="55" spans="1:16" x14ac:dyDescent="0.2">
      <c r="A55" s="70"/>
      <c r="B55" s="70"/>
      <c r="C55" s="70"/>
      <c r="D55" s="70"/>
      <c r="E55" s="70"/>
      <c r="F55" s="70"/>
      <c r="G55" s="70"/>
      <c r="H55" s="70"/>
      <c r="I55" s="70"/>
      <c r="J55" s="70"/>
      <c r="K55" s="70"/>
      <c r="L55" s="70"/>
      <c r="M55" s="70"/>
      <c r="N55" s="70"/>
      <c r="O55" s="70"/>
      <c r="P55" s="70"/>
    </row>
    <row r="56" spans="1:16" x14ac:dyDescent="0.2">
      <c r="A56" s="70"/>
      <c r="B56" s="70"/>
      <c r="C56" s="70"/>
      <c r="D56" s="70"/>
      <c r="E56" s="70"/>
      <c r="F56" s="70"/>
      <c r="G56" s="70"/>
      <c r="H56" s="70"/>
      <c r="I56" s="70"/>
      <c r="J56" s="70"/>
      <c r="K56" s="70"/>
      <c r="L56" s="70"/>
      <c r="M56" s="70"/>
      <c r="N56" s="70"/>
      <c r="O56" s="70"/>
      <c r="P56" s="70"/>
    </row>
    <row r="57" spans="1:16" x14ac:dyDescent="0.2">
      <c r="A57" s="70"/>
      <c r="B57" s="70"/>
      <c r="C57" s="70"/>
      <c r="D57" s="70"/>
      <c r="E57" s="70"/>
      <c r="F57" s="70"/>
      <c r="G57" s="70"/>
      <c r="H57" s="70"/>
      <c r="I57" s="70"/>
      <c r="J57" s="70"/>
      <c r="K57" s="70"/>
      <c r="L57" s="70"/>
      <c r="M57" s="70"/>
      <c r="N57" s="70"/>
      <c r="O57" s="70"/>
      <c r="P57" s="70"/>
    </row>
    <row r="58" spans="1:16" x14ac:dyDescent="0.2">
      <c r="A58" s="70"/>
      <c r="B58" s="70"/>
      <c r="C58" s="70"/>
      <c r="D58" s="70"/>
      <c r="E58" s="70"/>
      <c r="F58" s="70"/>
      <c r="G58" s="70"/>
      <c r="H58" s="70"/>
      <c r="I58" s="70"/>
      <c r="J58" s="70"/>
      <c r="K58" s="70"/>
      <c r="L58" s="70"/>
      <c r="M58" s="70"/>
      <c r="N58" s="70"/>
      <c r="O58" s="70"/>
      <c r="P58" s="70"/>
    </row>
    <row r="59" spans="1:16" x14ac:dyDescent="0.2">
      <c r="A59" s="70"/>
      <c r="B59" s="70"/>
      <c r="C59" s="70"/>
      <c r="D59" s="70"/>
      <c r="E59" s="70"/>
      <c r="F59" s="70"/>
      <c r="G59" s="70"/>
      <c r="H59" s="70"/>
      <c r="I59" s="70"/>
      <c r="J59" s="70"/>
      <c r="K59" s="70"/>
      <c r="L59" s="70"/>
      <c r="M59" s="70"/>
      <c r="N59" s="70"/>
      <c r="O59" s="70"/>
      <c r="P59" s="70"/>
    </row>
    <row r="60" spans="1:16" x14ac:dyDescent="0.2">
      <c r="A60" s="70"/>
      <c r="B60" s="70"/>
      <c r="C60" s="70"/>
      <c r="D60" s="70"/>
      <c r="E60" s="70"/>
      <c r="F60" s="70"/>
      <c r="G60" s="70"/>
      <c r="H60" s="70"/>
      <c r="I60" s="70"/>
      <c r="J60" s="70"/>
      <c r="K60" s="70"/>
      <c r="L60" s="70"/>
      <c r="M60" s="70"/>
      <c r="N60" s="70"/>
      <c r="O60" s="70"/>
      <c r="P60" s="70"/>
    </row>
    <row r="61" spans="1:16" x14ac:dyDescent="0.2">
      <c r="A61" s="70"/>
      <c r="B61" s="70"/>
      <c r="C61" s="70"/>
      <c r="D61" s="70"/>
      <c r="E61" s="70"/>
      <c r="F61" s="70"/>
      <c r="G61" s="70"/>
      <c r="H61" s="70"/>
      <c r="I61" s="70"/>
      <c r="J61" s="70"/>
      <c r="K61" s="70"/>
      <c r="L61" s="70"/>
      <c r="M61" s="70"/>
      <c r="N61" s="70"/>
      <c r="O61" s="70"/>
      <c r="P61" s="70"/>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20:E25"/>
    <mergeCell ref="A19:B19"/>
    <mergeCell ref="C19:D19"/>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2023-10-09T11:18:58Z</dcterms:created>
  <dcterms:modified xsi:type="dcterms:W3CDTF">2023-10-21T05:51:52Z</dcterms:modified>
</cp:coreProperties>
</file>