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10B69FF-0AF3-2940-A997-D50103A25089}" xr6:coauthVersionLast="47" xr6:coauthVersionMax="47" xr10:uidLastSave="{00000000-0000-0000-0000-000000000000}"/>
  <bookViews>
    <workbookView xWindow="0" yWindow="500" windowWidth="40960" windowHeight="22540" activeTab="1" xr2:uid="{00000000-000D-0000-FFFF-FFFF00000000}"/>
  </bookViews>
  <sheets>
    <sheet name="Overview" sheetId="2" r:id="rId1"/>
    <sheet name="Model"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3" i="1" l="1"/>
  <c r="M23" i="1"/>
  <c r="N20" i="1"/>
  <c r="M95" i="1"/>
  <c r="F109" i="1"/>
  <c r="G109" i="1"/>
  <c r="H109" i="1"/>
  <c r="I109" i="1"/>
  <c r="G106" i="1"/>
  <c r="H106" i="1" s="1"/>
  <c r="I106" i="1" s="1"/>
  <c r="J106" i="1" s="1"/>
  <c r="F106" i="1"/>
  <c r="D106" i="1"/>
  <c r="B106" i="1"/>
  <c r="C106" i="1"/>
  <c r="E106" i="1"/>
  <c r="G31" i="1"/>
  <c r="H31" i="1"/>
  <c r="I31" i="1"/>
  <c r="J31" i="1"/>
  <c r="F31" i="1"/>
  <c r="F30" i="1"/>
  <c r="G30" i="1"/>
  <c r="H30" i="1"/>
  <c r="I30" i="1"/>
  <c r="J30" i="1"/>
  <c r="G22" i="1"/>
  <c r="H22" i="1"/>
  <c r="I22" i="1"/>
  <c r="J22" i="1"/>
  <c r="F22" i="1"/>
  <c r="F21" i="1"/>
  <c r="G21" i="1"/>
  <c r="H21" i="1"/>
  <c r="I21" i="1"/>
  <c r="J21" i="1"/>
  <c r="G117" i="1" a="1"/>
  <c r="G117" i="1" s="1"/>
  <c r="M20" i="1" s="1"/>
  <c r="M102" i="1" a="1"/>
  <c r="M102" i="1" s="1"/>
  <c r="L20" i="1" s="1"/>
  <c r="M96" i="1" a="1"/>
  <c r="M96" i="1" s="1"/>
  <c r="G112" i="1"/>
  <c r="M91" i="1"/>
  <c r="M90" i="1"/>
  <c r="M92" i="1" s="1"/>
  <c r="M88" i="1"/>
  <c r="M100" i="1" s="1"/>
  <c r="M87" i="1"/>
  <c r="M86" i="1"/>
  <c r="M98" i="1" l="1"/>
  <c r="G113" i="1"/>
  <c r="M104" i="1"/>
  <c r="M103" i="1" s="1"/>
  <c r="M89" i="1"/>
  <c r="M93" i="1" s="1"/>
  <c r="M101" i="1" l="1"/>
  <c r="M106" i="1" s="1"/>
  <c r="M109" i="1" s="1"/>
  <c r="J7" i="2" l="1"/>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7" i="1"/>
  <c r="N5" i="1" s="1"/>
  <c r="D107" i="1"/>
  <c r="C107" i="1"/>
  <c r="E90" i="1"/>
  <c r="N11" i="1" s="1"/>
  <c r="D90" i="1"/>
  <c r="C90" i="1"/>
  <c r="B90" i="1"/>
  <c r="E81" i="1"/>
  <c r="M11" i="1" s="1"/>
  <c r="D81" i="1"/>
  <c r="C81" i="1"/>
  <c r="B81" i="1"/>
  <c r="E36" i="1"/>
  <c r="D36" i="1"/>
  <c r="C36" i="1"/>
  <c r="E30" i="1"/>
  <c r="D30" i="1"/>
  <c r="C30" i="1"/>
  <c r="E21" i="1"/>
  <c r="D21" i="1"/>
  <c r="C21" i="1"/>
  <c r="E14" i="1"/>
  <c r="L11" i="1" s="1"/>
  <c r="D14" i="1"/>
  <c r="C14" i="1"/>
  <c r="B14" i="1"/>
  <c r="E10" i="1"/>
  <c r="K11" i="1" s="1"/>
  <c r="D10" i="1"/>
  <c r="C10" i="1"/>
  <c r="B10" i="1"/>
  <c r="E5" i="1"/>
  <c r="D5" i="1"/>
  <c r="C5" i="1"/>
  <c r="M5" i="1" l="1"/>
  <c r="K17" i="1"/>
  <c r="G115" i="1" s="1"/>
  <c r="L5" i="1"/>
  <c r="K5" i="1"/>
  <c r="M107" i="1"/>
  <c r="J108" i="1" l="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<sst xmlns="http://schemas.openxmlformats.org/spreadsheetml/2006/main" count="302" uniqueCount="180">
  <si>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</si>
  <si>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</si>
  <si>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</si>
  <si>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</si>
  <si>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</si>
  <si>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</si>
  <si>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</si>
  <si>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</si>
  <si>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</si>
  <si>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</si>
  <si>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</si>
  <si>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</si>
  <si>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</si>
  <si>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</si>
  <si>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</si>
  <si>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</si>
  <si>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</si>
  <si>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</si>
  <si>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</si>
  <si>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</si>
  <si>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</si>
  <si>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</si>
  <si>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</si>
  <si>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</si>
  <si>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</si>
  <si>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</si>
  <si>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</si>
  <si>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</si>
  <si>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</si>
  <si>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</si>
  <si>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</si>
  <si>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</si>
  <si>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</si>
  <si>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</si>
  <si>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</si>
  <si>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</si>
  <si>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</si>
  <si>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</si>
  <si>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</si>
  <si>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</si>
  <si>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</si>
  <si>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</si>
  <si>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</si>
  <si>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</si>
  <si>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</si>
  <si>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</si>
  <si>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</si>
  <si>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</si>
  <si>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</si>
  <si>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</si>
  <si>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</si>
  <si>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</si>
  <si>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</si>
  <si>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</si>
  <si>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</si>
  <si>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</si>
  <si>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</si>
  <si>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</si>
  <si>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</si>
  <si>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</si>
  <si>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</si>
  <si>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</si>
  <si>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</si>
  <si>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</si>
  <si>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</si>
  <si>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</si>
  <si>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</si>
  <si>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</si>
  <si>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</si>
  <si>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</si>
  <si>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</si>
  <si>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</si>
  <si>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</si>
  <si>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</si>
  <si>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</si>
  <si>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</si>
  <si>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</si>
  <si>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</si>
  <si>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</si>
  <si>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</si>
  <si>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</si>
  <si>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</si>
  <si>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</si>
  <si>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</si>
  <si>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</si>
  <si>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</si>
  <si>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</si>
  <si>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</si>
  <si>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</si>
  <si>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</si>
  <si>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</si>
  <si>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</si>
  <si>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</si>
  <si>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</si>
  <si>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</si>
  <si>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</si>
  <si>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</si>
  <si>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</si>
  <si>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</si>
  <si>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</si>
  <si>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</si>
  <si>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</si>
  <si>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</si>
  <si>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</si>
  <si>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</si>
  <si>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</si>
  <si>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</si>
  <si>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</si>
  <si>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</si>
  <si>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</si>
  <si>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</si>
  <si>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</si>
  <si>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</si>
  <si>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</si>
  <si>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</si>
  <si>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</si>
  <si>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</si>
  <si>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</si>
  <si>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</si>
  <si>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</si>
  <si>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</si>
  <si>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</si>
  <si>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</si>
  <si>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</si>
  <si>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</si>
  <si>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</si>
  <si>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</si>
  <si>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</si>
  <si>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</si>
  <si>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</si>
  <si>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</si>
  <si>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</si>
  <si>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</si>
  <si>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</si>
  <si>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</si>
  <si>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</si>
  <si>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</si>
  <si>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</si>
  <si>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</si>
  <si>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</si>
  <si>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</si>
  <si>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</si>
  <si>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</si>
  <si>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</si>
  <si>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</si>
  <si>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</si>
  <si>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</si>
  <si>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</si>
  <si>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</si>
  <si>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</si>
  <si>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</si>
  <si>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</si>
  <si>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</si>
  <si>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</si>
  <si>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</si>
  <si>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</si>
  <si>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</si>
  <si>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</si>
  <si>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</si>
  <si>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</si>
  <si>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</si>
  <si>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</si>
  <si>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</si>
  <si>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</si>
  <si>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</si>
  <si>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</si>
  <si>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</si>
  <si>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</si>
  <si>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</si>
  <si>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</si>
  <si>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</si>
  <si>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</si>
  <si>
    <t>Unlevered FCF Proj</t>
  </si>
  <si>
    <t>Unlevered FCF Forecast</t>
  </si>
  <si>
    <t>Unlevered FCF</t>
  </si>
  <si>
    <t>Levered FCF Growth YoY</t>
  </si>
  <si>
    <t>Levered FCF</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</si>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</sst>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1"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4"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7"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7"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7"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164" fontId="9" fillId="7" borderId="0" xfId="0" applyNumberFormat="1" applyFont="1" applyFill="1"/>
    <xf numFmtId="164" fontId="1" fillId="7" borderId="0" xfId="0" applyNumberFormat="1" applyFont="1" applyFill="1"/>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0" xfId="0" applyFont="1" applyFill="1" applyBorder="1" applyAlignment="1">
      <alignment horizontal="center"/>
    </xf>
    <xf numFmtId="0" fontId="16"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xf numFmtId="171" fontId="10" fillId="0" borderId="5" xfId="0" applyNumberFormat="1" applyFont="1" applyBorder="1" applyAlignment="1">
      <alignment horizontal="center"/>
    </xf>
    <xf numFmtId="171" fontId="10"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2737736271338176"/>
          <c:w val="0.85569395617776167"/>
          <c:h val="0.7437589778021933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Model!$B$108:$E$108</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245960273998264"/>
          <c:y val="0.91344055830230519"/>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28575</xdr:rowOff>
    </xdr:from>
    <xdr:to>
      <xdr:col>13</xdr:col>
      <xdr:colOff>0</xdr:colOff>
      <xdr:row>134</xdr:row>
      <xdr:rowOff>63500</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54.18</v>
    <v>25.451000000000001</v>
    <v>2.3740000000000001</v>
    <v>-0.5</v>
    <v>-1.7774999999999999E-2</v>
    <v>0.01</v>
    <v>3.6179999999999996E-4</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28.3705</v>
    <v>Hotels &amp; Entertainment Services</v>
    <v>Stock</v>
    <v>45103.930298657033</v>
    <v>0</v>
    <v>27.6</v>
    <v>4526705790</v>
    <v>Dutch Bros Inc</v>
    <v>Dutch Bros Inc</v>
    <v>27.81</v>
    <v>28.13</v>
    <v>27.63</v>
    <v>27.65</v>
    <v>163833000</v>
    <v>BROS</v>
    <v>Dutch Bros Inc (XNYS:BROS)</v>
    <v>460119</v>
    <v>742889</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hyperlink" Target="https://finbox.com/NYSE:BROS/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123</v>
      </c>
      <c r="D1" s="29" t="s">
        <v>126</v>
      </c>
      <c r="E1" s="29" t="s">
        <v>124</v>
      </c>
      <c r="F1" s="29" t="s">
        <v>127</v>
      </c>
      <c r="G1" s="29" t="s">
        <v>128</v>
      </c>
      <c r="H1" s="29" t="s">
        <v>129</v>
      </c>
      <c r="I1" s="29" t="s">
        <v>125</v>
      </c>
      <c r="J1" s="29" t="s">
        <v>130</v>
      </c>
    </row>
    <row r="2" spans="2:15" ht="19" x14ac:dyDescent="0.25">
      <c r="C2" s="9" t="s">
        <v>90</v>
      </c>
      <c r="D2" s="9" t="s">
        <v>90</v>
      </c>
      <c r="E2" s="9" t="s">
        <v>90</v>
      </c>
      <c r="F2" s="9" t="s">
        <v>90</v>
      </c>
      <c r="G2" s="9"/>
      <c r="H2" s="9"/>
      <c r="I2" s="9"/>
      <c r="J2" s="9"/>
      <c r="O2" s="31" t="s">
        <v>121</v>
      </c>
    </row>
    <row r="3" spans="2:15" ht="19" x14ac:dyDescent="0.25">
      <c r="B3" s="30" t="s">
        <v>122</v>
      </c>
      <c r="C3" s="27"/>
      <c r="D3" s="27">
        <v>441</v>
      </c>
      <c r="E3" s="27"/>
      <c r="F3" s="27">
        <v>538</v>
      </c>
      <c r="G3" s="27"/>
      <c r="H3" s="27"/>
      <c r="I3" s="27"/>
      <c r="J3" s="27">
        <v>671</v>
      </c>
      <c r="O3" t="s">
        <v>133</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131</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132</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2" activePane="bottomRight" state="frozen"/>
      <selection pane="topRight"/>
      <selection pane="bottomLeft"/>
      <selection pane="bottomRight" activeCell="N34" sqref="N34"/>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19" x14ac:dyDescent="0.25">
      <c r="A3" s="28" t="s">
        <v>122</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974300000</v>
      </c>
      <c r="G4" s="24">
        <v>1242000000</v>
      </c>
      <c r="H4" s="24">
        <v>1529000000</v>
      </c>
      <c r="I4" s="24">
        <v>1817000000</v>
      </c>
      <c r="J4" s="24">
        <v>2139000000</v>
      </c>
      <c r="K4" s="19" t="s">
        <v>105</v>
      </c>
      <c r="L4" s="20" t="s">
        <v>106</v>
      </c>
      <c r="M4" s="20" t="s">
        <v>107</v>
      </c>
      <c r="N4" s="20" t="s">
        <v>108</v>
      </c>
    </row>
    <row r="5" spans="1:38" ht="19" x14ac:dyDescent="0.25">
      <c r="A5" s="14" t="s">
        <v>93</v>
      </c>
      <c r="B5" s="1"/>
      <c r="C5" s="15">
        <f>(C4/B4)-1</f>
        <v>0.37356104846288085</v>
      </c>
      <c r="D5" s="15">
        <f>(D4/C4)-1</f>
        <v>0.52063601628524214</v>
      </c>
      <c r="E5" s="15">
        <f>(E4/D4)-1</f>
        <v>0.4843294314246922</v>
      </c>
      <c r="F5" s="16">
        <f t="shared" ref="F5:J5" si="0">(F4/E4)-1</f>
        <v>0.31838183953711163</v>
      </c>
      <c r="G5" s="16">
        <f t="shared" si="0"/>
        <v>0.27476136713537924</v>
      </c>
      <c r="H5" s="16">
        <f t="shared" si="0"/>
        <v>0.23107890499194839</v>
      </c>
      <c r="I5" s="16">
        <f t="shared" si="0"/>
        <v>0.18835840418574223</v>
      </c>
      <c r="J5" s="16">
        <f t="shared" si="0"/>
        <v>0.17721518987341778</v>
      </c>
      <c r="K5" s="17">
        <f>(E5+D5+C5)/3</f>
        <v>0.45950883205760507</v>
      </c>
      <c r="L5" s="17">
        <f>(E21+D21+C21)/3</f>
        <v>-2.6043321468093383</v>
      </c>
      <c r="M5" s="17">
        <f>(E30+D30+C30)/3</f>
        <v>-7.9705186503824805</v>
      </c>
      <c r="N5" s="17">
        <f>(E107+D107+C107)/3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109</v>
      </c>
      <c r="L7" s="20" t="s">
        <v>110</v>
      </c>
      <c r="M7" s="20" t="s">
        <v>111</v>
      </c>
      <c r="N7" s="20" t="s">
        <v>112</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E108/E4</f>
        <v>-0.17320016454401282</v>
      </c>
    </row>
    <row r="9" spans="1:38" ht="19" x14ac:dyDescent="0.25">
      <c r="A9" s="5" t="s">
        <v>5</v>
      </c>
      <c r="B9" s="1">
        <v>0</v>
      </c>
      <c r="C9" s="1">
        <v>0</v>
      </c>
      <c r="D9" s="1">
        <v>0</v>
      </c>
      <c r="E9" s="1">
        <v>0</v>
      </c>
    </row>
    <row r="10" spans="1:38" ht="19" customHeight="1" x14ac:dyDescent="0.25">
      <c r="A10" s="14" t="s">
        <v>94</v>
      </c>
      <c r="B10" s="15">
        <f>B9/B4</f>
        <v>0</v>
      </c>
      <c r="C10" s="15">
        <f t="shared" ref="C10:E10" si="1">C9/C4</f>
        <v>0</v>
      </c>
      <c r="D10" s="15">
        <f t="shared" si="1"/>
        <v>0</v>
      </c>
      <c r="E10" s="15">
        <f t="shared" si="1"/>
        <v>0</v>
      </c>
      <c r="F10" s="15"/>
      <c r="G10" s="15"/>
      <c r="K10" s="19" t="s">
        <v>95</v>
      </c>
      <c r="L10" s="20" t="s">
        <v>96</v>
      </c>
      <c r="M10" s="20" t="s">
        <v>97</v>
      </c>
      <c r="N10" s="20" t="s">
        <v>98</v>
      </c>
    </row>
    <row r="11" spans="1:38" ht="19" x14ac:dyDescent="0.25">
      <c r="A11" s="5" t="s">
        <v>6</v>
      </c>
      <c r="B11" s="1" t="s">
        <v>91</v>
      </c>
      <c r="C11" s="1" t="s">
        <v>91</v>
      </c>
      <c r="D11" s="1" t="s">
        <v>91</v>
      </c>
      <c r="E11" s="1" t="s">
        <v>91</v>
      </c>
      <c r="K11" s="17">
        <f>E10</f>
        <v>0</v>
      </c>
      <c r="L11" s="21">
        <f>E14</f>
        <v>0.24834238144982762</v>
      </c>
      <c r="M11" s="21">
        <f>E81</f>
        <v>5.6368502811862321E-2</v>
      </c>
      <c r="N11" s="21">
        <f>E90</f>
        <v>0.25423132506644008</v>
      </c>
    </row>
    <row r="12" spans="1:38" ht="19" x14ac:dyDescent="0.25">
      <c r="A12" s="5" t="s">
        <v>7</v>
      </c>
      <c r="B12" s="1" t="s">
        <v>91</v>
      </c>
      <c r="C12" s="1" t="s">
        <v>91</v>
      </c>
      <c r="D12" s="1" t="s">
        <v>91</v>
      </c>
      <c r="E12" s="1" t="s">
        <v>91</v>
      </c>
    </row>
    <row r="13" spans="1:38" ht="20" x14ac:dyDescent="0.25">
      <c r="A13" s="5" t="s">
        <v>8</v>
      </c>
      <c r="B13" s="1" t="s">
        <v>91</v>
      </c>
      <c r="C13" s="1" t="s">
        <v>91</v>
      </c>
      <c r="D13" s="1">
        <v>265035000</v>
      </c>
      <c r="E13" s="1">
        <v>183528000</v>
      </c>
      <c r="K13" s="19" t="s">
        <v>113</v>
      </c>
      <c r="L13" s="20" t="s">
        <v>114</v>
      </c>
      <c r="M13" s="20" t="s">
        <v>115</v>
      </c>
      <c r="N13" s="20" t="s">
        <v>116</v>
      </c>
    </row>
    <row r="14" spans="1:38" ht="19" x14ac:dyDescent="0.25">
      <c r="A14" s="14" t="s">
        <v>99</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65">
        <f>E68/E73</f>
        <v>3.7082261802711369</v>
      </c>
    </row>
    <row r="15" spans="1:38" ht="19" x14ac:dyDescent="0.25">
      <c r="A15" s="5" t="s">
        <v>9</v>
      </c>
      <c r="B15" s="1">
        <v>65764000</v>
      </c>
      <c r="C15" s="1">
        <v>105087000</v>
      </c>
      <c r="D15" s="1" t="s">
        <v>91</v>
      </c>
      <c r="E15" s="1" t="s">
        <v>91</v>
      </c>
    </row>
    <row r="16" spans="1:38" ht="20" x14ac:dyDescent="0.25">
      <c r="A16" s="5" t="s">
        <v>10</v>
      </c>
      <c r="B16" s="1">
        <v>65764000</v>
      </c>
      <c r="C16" s="1">
        <v>105087000</v>
      </c>
      <c r="D16" s="1">
        <v>265035000</v>
      </c>
      <c r="E16" s="1">
        <v>183528000</v>
      </c>
      <c r="K16" s="19" t="s">
        <v>169</v>
      </c>
      <c r="L16" s="20" t="s">
        <v>117</v>
      </c>
      <c r="M16" s="20" t="s">
        <v>118</v>
      </c>
      <c r="N16" s="20" t="s">
        <v>119</v>
      </c>
    </row>
    <row r="17" spans="1:14" ht="19" x14ac:dyDescent="0.25">
      <c r="A17" s="5" t="s">
        <v>11</v>
      </c>
      <c r="B17" s="1">
        <v>208071000</v>
      </c>
      <c r="C17" s="1">
        <v>316746000</v>
      </c>
      <c r="D17" s="1">
        <v>611148000</v>
      </c>
      <c r="E17" s="1">
        <v>741624000</v>
      </c>
      <c r="K17" s="25">
        <f>(E36+D36+C36)/3</f>
        <v>3.652450823189142E-2</v>
      </c>
      <c r="L17" s="62">
        <f>M102/E4</f>
        <v>6.1253481540218564</v>
      </c>
      <c r="M17" s="62">
        <f>M102/E29</f>
        <v>-952.38918367346935</v>
      </c>
      <c r="N17" s="63">
        <f>M102/E108</f>
        <v>-35.365717868387542</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91</v>
      </c>
      <c r="E19" s="1">
        <v>44728000</v>
      </c>
      <c r="K19" s="19" t="s">
        <v>120</v>
      </c>
      <c r="L19" s="20" t="s">
        <v>170</v>
      </c>
      <c r="M19" s="20" t="s">
        <v>171</v>
      </c>
      <c r="N19" s="20" t="s">
        <v>177</v>
      </c>
    </row>
    <row r="20" spans="1:14" ht="19" x14ac:dyDescent="0.25">
      <c r="A20" s="6" t="s">
        <v>14</v>
      </c>
      <c r="B20" s="10">
        <v>40491000</v>
      </c>
      <c r="C20" s="10">
        <v>25841000</v>
      </c>
      <c r="D20" s="10">
        <v>-128698000</v>
      </c>
      <c r="E20" s="10">
        <v>60592000</v>
      </c>
      <c r="F20" s="61">
        <v>127700000</v>
      </c>
      <c r="G20" s="61">
        <v>182800000</v>
      </c>
      <c r="H20" s="61">
        <v>226000000</v>
      </c>
      <c r="I20" s="61">
        <v>284500000</v>
      </c>
      <c r="J20" s="61">
        <v>348900000</v>
      </c>
      <c r="K20" s="26">
        <f>E41-E57-E62</f>
        <v>-605239000</v>
      </c>
      <c r="L20" s="62">
        <f>M102/F4</f>
        <v>4.6461108385507544</v>
      </c>
      <c r="M20" s="64">
        <f>G117/F32</f>
        <v>70.84615384615384</v>
      </c>
      <c r="N20" s="63">
        <f>M102/F107</f>
        <v>-43.029522718631178</v>
      </c>
    </row>
    <row r="21" spans="1:14" ht="19" customHeight="1" x14ac:dyDescent="0.25">
      <c r="A21" s="14" t="s">
        <v>100</v>
      </c>
      <c r="B21" s="1"/>
      <c r="C21" s="15">
        <f>(C20/B20)-1</f>
        <v>-0.36180879701662094</v>
      </c>
      <c r="D21" s="15">
        <f>(D20/C20)-1</f>
        <v>-5.9803800162532408</v>
      </c>
      <c r="E21" s="15">
        <f>(E20/D20)-1</f>
        <v>-1.4708076271581532</v>
      </c>
      <c r="F21" s="16">
        <f t="shared" ref="F21:J21" si="3">(F20/E20)-1</f>
        <v>1.1075389490361762</v>
      </c>
      <c r="G21" s="16">
        <f t="shared" si="3"/>
        <v>0.43148003132341417</v>
      </c>
      <c r="H21" s="16">
        <f t="shared" si="3"/>
        <v>0.23632385120350108</v>
      </c>
      <c r="I21" s="16">
        <f t="shared" si="3"/>
        <v>0.25884955752212391</v>
      </c>
      <c r="J21" s="16">
        <f t="shared" si="3"/>
        <v>0.22636203866432347</v>
      </c>
    </row>
    <row r="22" spans="1:14" ht="20" x14ac:dyDescent="0.25">
      <c r="A22" s="5" t="s">
        <v>15</v>
      </c>
      <c r="B22" s="2">
        <v>0.1699</v>
      </c>
      <c r="C22" s="2">
        <v>7.8899999999999998E-2</v>
      </c>
      <c r="D22" s="2">
        <v>-0.25850000000000001</v>
      </c>
      <c r="E22" s="2">
        <v>8.2000000000000003E-2</v>
      </c>
      <c r="F22" s="68">
        <f>F20/F4</f>
        <v>0.13106845940675357</v>
      </c>
      <c r="G22" s="68">
        <f t="shared" ref="G22:J22" si="4">G20/G4</f>
        <v>0.14718196457326893</v>
      </c>
      <c r="H22" s="68">
        <f t="shared" si="4"/>
        <v>0.14780902550686723</v>
      </c>
      <c r="I22" s="68">
        <f t="shared" si="4"/>
        <v>0.1565767749036874</v>
      </c>
      <c r="J22" s="68">
        <f t="shared" si="4"/>
        <v>0.16311360448807855</v>
      </c>
      <c r="M22" s="19" t="s">
        <v>178</v>
      </c>
      <c r="N22" s="20" t="s">
        <v>179</v>
      </c>
    </row>
    <row r="23" spans="1:14" ht="19" x14ac:dyDescent="0.25">
      <c r="A23" s="6" t="s">
        <v>16</v>
      </c>
      <c r="B23" s="10">
        <v>30297000</v>
      </c>
      <c r="C23" s="10">
        <v>10667000</v>
      </c>
      <c r="D23" s="10">
        <v>-113272000</v>
      </c>
      <c r="E23" s="10">
        <v>-2612000</v>
      </c>
      <c r="M23" s="77">
        <f>(-1*E99)/M102</f>
        <v>0</v>
      </c>
      <c r="N23" s="78">
        <f>E108/M102</f>
        <v>-2.827597063691652E-2</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66">
        <v>22780000</v>
      </c>
      <c r="G29" s="66">
        <v>78490000</v>
      </c>
      <c r="H29" s="66">
        <v>70495000</v>
      </c>
      <c r="I29" s="66">
        <v>107000000</v>
      </c>
      <c r="J29" s="66">
        <v>149100000</v>
      </c>
    </row>
    <row r="30" spans="1:14" ht="20" customHeight="1" thickTop="1" x14ac:dyDescent="0.25">
      <c r="A30" s="14" t="s">
        <v>101</v>
      </c>
      <c r="B30" s="1"/>
      <c r="C30" s="15">
        <f>(C29/B29)-1</f>
        <v>-0.79831607130275484</v>
      </c>
      <c r="D30" s="15">
        <f>(D29/C29)-1</f>
        <v>-22.152489082969431</v>
      </c>
      <c r="E30" s="15">
        <f>(E29/D29)-1</f>
        <v>-0.96075079687525811</v>
      </c>
      <c r="F30" s="16">
        <f t="shared" ref="F30:J30" si="5">(F29/E29)-1</f>
        <v>-5.7927624658110668</v>
      </c>
      <c r="G30" s="16">
        <f t="shared" si="5"/>
        <v>2.4455662862159788</v>
      </c>
      <c r="H30" s="16">
        <f t="shared" si="5"/>
        <v>-0.10186010956809788</v>
      </c>
      <c r="I30" s="16">
        <f t="shared" si="5"/>
        <v>0.51783814454925881</v>
      </c>
      <c r="J30" s="16">
        <f t="shared" si="5"/>
        <v>0.3934579439252337</v>
      </c>
    </row>
    <row r="31" spans="1:14" ht="19" x14ac:dyDescent="0.25">
      <c r="A31" s="5" t="s">
        <v>23</v>
      </c>
      <c r="B31" s="2">
        <v>0.1191</v>
      </c>
      <c r="C31" s="2">
        <v>1.7500000000000002E-2</v>
      </c>
      <c r="D31" s="2">
        <v>-0.2432</v>
      </c>
      <c r="E31" s="2">
        <v>-6.4000000000000003E-3</v>
      </c>
      <c r="F31" s="68">
        <f>F29/F4</f>
        <v>2.3380888843272093E-2</v>
      </c>
      <c r="G31" s="68">
        <f t="shared" ref="G31:J31" si="6">G29/G4</f>
        <v>6.3196457326892108E-2</v>
      </c>
      <c r="H31" s="68">
        <f t="shared" si="6"/>
        <v>4.6105297580117721E-2</v>
      </c>
      <c r="I31" s="68">
        <f t="shared" si="6"/>
        <v>5.8888277380297192E-2</v>
      </c>
      <c r="J31" s="68">
        <f t="shared" si="6"/>
        <v>6.9705469845722304E-2</v>
      </c>
    </row>
    <row r="32" spans="1:14" ht="19" x14ac:dyDescent="0.25">
      <c r="A32" s="5" t="s">
        <v>24</v>
      </c>
      <c r="B32" s="12">
        <v>0.61</v>
      </c>
      <c r="C32" s="12">
        <v>0.12</v>
      </c>
      <c r="D32" s="12">
        <v>-2.59</v>
      </c>
      <c r="E32" s="12">
        <v>-0.09</v>
      </c>
      <c r="F32" s="67">
        <v>0.39</v>
      </c>
      <c r="G32" s="67">
        <v>1.35</v>
      </c>
      <c r="H32" s="67">
        <v>1.21</v>
      </c>
      <c r="I32" s="67">
        <v>1.84</v>
      </c>
      <c r="J32" s="67">
        <v>2.57</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102</v>
      </c>
      <c r="B36" s="1"/>
      <c r="C36" s="22">
        <f>(C35-B35)/B35</f>
        <v>0</v>
      </c>
      <c r="D36" s="22">
        <f t="shared" ref="D36:E36" si="7">(D35-C35)/C35</f>
        <v>0</v>
      </c>
      <c r="E36" s="22">
        <f t="shared" si="7"/>
        <v>0.10957352469567426</v>
      </c>
    </row>
    <row r="37" spans="1:5" ht="19" x14ac:dyDescent="0.25">
      <c r="A37" s="5" t="s">
        <v>28</v>
      </c>
      <c r="B37" s="13" t="s">
        <v>92</v>
      </c>
      <c r="C37" s="13" t="s">
        <v>92</v>
      </c>
      <c r="D37" s="13" t="s">
        <v>92</v>
      </c>
      <c r="E37" s="13" t="s">
        <v>92</v>
      </c>
    </row>
    <row r="38" spans="1:5" ht="21" x14ac:dyDescent="0.25">
      <c r="A38" s="4" t="s">
        <v>29</v>
      </c>
      <c r="B38" s="9" t="s">
        <v>90</v>
      </c>
      <c r="C38" s="9" t="s">
        <v>90</v>
      </c>
      <c r="D38" s="9" t="s">
        <v>90</v>
      </c>
      <c r="E38" s="9" t="s">
        <v>90</v>
      </c>
    </row>
    <row r="39" spans="1:5" ht="19" x14ac:dyDescent="0.25">
      <c r="A39" s="5" t="s">
        <v>30</v>
      </c>
      <c r="B39" s="1">
        <v>15584000</v>
      </c>
      <c r="C39" s="1">
        <v>31640000</v>
      </c>
      <c r="D39" s="1">
        <v>18506000</v>
      </c>
      <c r="E39" s="1">
        <v>20178000</v>
      </c>
    </row>
    <row r="40" spans="1:5" ht="19" x14ac:dyDescent="0.25">
      <c r="A40" s="5" t="s">
        <v>31</v>
      </c>
      <c r="B40" s="1" t="s">
        <v>91</v>
      </c>
      <c r="C40" s="1" t="s">
        <v>91</v>
      </c>
      <c r="D40" s="1" t="s">
        <v>91</v>
      </c>
      <c r="E40" s="1" t="s">
        <v>91</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91</v>
      </c>
      <c r="C50" s="1" t="s">
        <v>91</v>
      </c>
      <c r="D50" s="1" t="s">
        <v>91</v>
      </c>
      <c r="E50" s="1" t="s">
        <v>91</v>
      </c>
    </row>
    <row r="51" spans="1:5" ht="19" x14ac:dyDescent="0.25">
      <c r="A51" s="5" t="s">
        <v>42</v>
      </c>
      <c r="B51" s="1" t="s">
        <v>91</v>
      </c>
      <c r="C51" s="1" t="s">
        <v>91</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91</v>
      </c>
      <c r="C54" s="1" t="s">
        <v>91</v>
      </c>
      <c r="D54" s="1" t="s">
        <v>91</v>
      </c>
      <c r="E54" s="1" t="s">
        <v>91</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91</v>
      </c>
      <c r="C58" s="1" t="s">
        <v>91</v>
      </c>
      <c r="D58" s="1" t="s">
        <v>91</v>
      </c>
      <c r="E58" s="1" t="s">
        <v>91</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91</v>
      </c>
      <c r="C64" s="1" t="s">
        <v>91</v>
      </c>
      <c r="D64" s="1" t="s">
        <v>91</v>
      </c>
      <c r="E64" s="1" t="s">
        <v>91</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91</v>
      </c>
      <c r="C67" s="1" t="s">
        <v>91</v>
      </c>
      <c r="D67" s="1" t="s">
        <v>91</v>
      </c>
      <c r="E67" s="1" t="s">
        <v>91</v>
      </c>
    </row>
    <row r="68" spans="1:5" ht="19" x14ac:dyDescent="0.25">
      <c r="A68" s="6" t="s">
        <v>58</v>
      </c>
      <c r="B68" s="10">
        <v>90266000</v>
      </c>
      <c r="C68" s="10">
        <v>183669000</v>
      </c>
      <c r="D68" s="10">
        <v>344760000</v>
      </c>
      <c r="E68" s="10">
        <v>934384000</v>
      </c>
    </row>
    <row r="69" spans="1:5" ht="19" x14ac:dyDescent="0.25">
      <c r="A69" s="5" t="s">
        <v>59</v>
      </c>
      <c r="B69" s="1" t="s">
        <v>91</v>
      </c>
      <c r="C69" s="1" t="s">
        <v>91</v>
      </c>
      <c r="D69" s="1">
        <v>2000</v>
      </c>
      <c r="E69" s="1" t="s">
        <v>91</v>
      </c>
    </row>
    <row r="70" spans="1:5" ht="19" x14ac:dyDescent="0.25">
      <c r="A70" s="5" t="s">
        <v>60</v>
      </c>
      <c r="B70" s="1" t="s">
        <v>91</v>
      </c>
      <c r="C70" s="1" t="s">
        <v>91</v>
      </c>
      <c r="D70" s="1">
        <v>-14035000</v>
      </c>
      <c r="E70" s="1">
        <v>-18788000</v>
      </c>
    </row>
    <row r="71" spans="1:5" ht="19" x14ac:dyDescent="0.25">
      <c r="A71" s="5" t="s">
        <v>61</v>
      </c>
      <c r="B71" s="1" t="s">
        <v>91</v>
      </c>
      <c r="C71" s="1" t="s">
        <v>91</v>
      </c>
      <c r="D71" s="1" t="s">
        <v>91</v>
      </c>
      <c r="E71" s="1" t="s">
        <v>91</v>
      </c>
    </row>
    <row r="72" spans="1:5" ht="19" x14ac:dyDescent="0.25">
      <c r="A72" s="5" t="s">
        <v>62</v>
      </c>
      <c r="B72" s="1" t="s">
        <v>91</v>
      </c>
      <c r="C72" s="1" t="s">
        <v>91</v>
      </c>
      <c r="D72" s="1">
        <v>224219000</v>
      </c>
      <c r="E72" s="1">
        <v>270764000</v>
      </c>
    </row>
    <row r="73" spans="1:5" ht="19" x14ac:dyDescent="0.25">
      <c r="A73" s="6" t="s">
        <v>63</v>
      </c>
      <c r="B73" s="10" t="s">
        <v>91</v>
      </c>
      <c r="C73" s="10" t="s">
        <v>91</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92</v>
      </c>
      <c r="C75" s="13" t="s">
        <v>92</v>
      </c>
      <c r="D75" s="13" t="s">
        <v>92</v>
      </c>
      <c r="E75" s="13" t="s">
        <v>92</v>
      </c>
    </row>
    <row r="76" spans="1:5" ht="21" x14ac:dyDescent="0.25">
      <c r="A76" s="4" t="s">
        <v>65</v>
      </c>
      <c r="B76" s="9" t="s">
        <v>90</v>
      </c>
      <c r="C76" s="9" t="s">
        <v>90</v>
      </c>
      <c r="D76" s="9" t="s">
        <v>90</v>
      </c>
      <c r="E76" s="9" t="s">
        <v>90</v>
      </c>
    </row>
    <row r="77" spans="1:5" ht="19" x14ac:dyDescent="0.25">
      <c r="A77" s="5" t="s">
        <v>66</v>
      </c>
      <c r="B77" s="1">
        <v>28386000</v>
      </c>
      <c r="C77" s="1">
        <v>5725000</v>
      </c>
      <c r="D77" s="1">
        <v>-121098000</v>
      </c>
      <c r="E77" s="1">
        <v>-19253000</v>
      </c>
    </row>
    <row r="78" spans="1:5" ht="19" x14ac:dyDescent="0.25">
      <c r="A78" s="5" t="s">
        <v>13</v>
      </c>
      <c r="B78" s="1">
        <v>9670000</v>
      </c>
      <c r="C78" s="1">
        <v>15537000</v>
      </c>
      <c r="D78" s="1">
        <v>15537000</v>
      </c>
      <c r="E78" s="1">
        <v>44728000</v>
      </c>
    </row>
    <row r="79" spans="1:5" ht="19" x14ac:dyDescent="0.25">
      <c r="A79" s="5" t="s">
        <v>67</v>
      </c>
      <c r="B79" s="1" t="s">
        <v>91</v>
      </c>
      <c r="C79" s="1" t="s">
        <v>91</v>
      </c>
      <c r="D79" s="1" t="s">
        <v>91</v>
      </c>
      <c r="E79" s="1">
        <v>1078000</v>
      </c>
    </row>
    <row r="80" spans="1:5" ht="19" x14ac:dyDescent="0.25">
      <c r="A80" s="5" t="s">
        <v>68</v>
      </c>
      <c r="B80" s="1">
        <v>6758000</v>
      </c>
      <c r="C80" s="1">
        <v>35087000</v>
      </c>
      <c r="D80" s="1" t="s">
        <v>91</v>
      </c>
      <c r="E80" s="1">
        <v>41657000</v>
      </c>
    </row>
    <row r="81" spans="1:13" ht="19" x14ac:dyDescent="0.25">
      <c r="A81" s="14" t="s">
        <v>103</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91</v>
      </c>
      <c r="E83" s="1">
        <v>-1322000</v>
      </c>
    </row>
    <row r="84" spans="1:13" ht="21" x14ac:dyDescent="0.25">
      <c r="A84" s="5" t="s">
        <v>34</v>
      </c>
      <c r="B84" s="1">
        <v>222000</v>
      </c>
      <c r="C84" s="1">
        <v>-4587000</v>
      </c>
      <c r="D84" s="1" t="s">
        <v>91</v>
      </c>
      <c r="E84" s="1">
        <v>-15817000</v>
      </c>
      <c r="L84" s="73" t="s">
        <v>134</v>
      </c>
      <c r="M84" s="74"/>
    </row>
    <row r="85" spans="1:13" ht="19" x14ac:dyDescent="0.25">
      <c r="A85" s="5" t="s">
        <v>47</v>
      </c>
      <c r="B85" s="1">
        <v>3531000</v>
      </c>
      <c r="C85" s="1">
        <v>-518000</v>
      </c>
      <c r="D85" s="1" t="s">
        <v>91</v>
      </c>
      <c r="E85" s="1">
        <v>1606000</v>
      </c>
      <c r="L85" s="75" t="s">
        <v>135</v>
      </c>
      <c r="M85" s="76"/>
    </row>
    <row r="86" spans="1:13" ht="20" x14ac:dyDescent="0.25">
      <c r="A86" s="5" t="s">
        <v>71</v>
      </c>
      <c r="B86" s="1">
        <v>5506000</v>
      </c>
      <c r="C86" s="1">
        <v>4762000</v>
      </c>
      <c r="D86" s="1">
        <v>12118000</v>
      </c>
      <c r="E86" s="1" t="s">
        <v>91</v>
      </c>
      <c r="L86" s="32" t="s">
        <v>136</v>
      </c>
      <c r="M86" s="33">
        <f>E18</f>
        <v>18018000</v>
      </c>
    </row>
    <row r="87" spans="1:13" ht="20" x14ac:dyDescent="0.25">
      <c r="A87" s="5" t="s">
        <v>72</v>
      </c>
      <c r="B87" s="1">
        <v>330000</v>
      </c>
      <c r="C87" s="1">
        <v>573000</v>
      </c>
      <c r="D87" s="1">
        <v>183614000</v>
      </c>
      <c r="E87" s="1" t="s">
        <v>91</v>
      </c>
      <c r="L87" s="32" t="s">
        <v>137</v>
      </c>
      <c r="M87" s="33">
        <f>E57</f>
        <v>130762000</v>
      </c>
    </row>
    <row r="88" spans="1:13" ht="20" x14ac:dyDescent="0.25">
      <c r="A88" s="6" t="s">
        <v>73</v>
      </c>
      <c r="B88" s="10">
        <v>56702000</v>
      </c>
      <c r="C88" s="10">
        <v>53549000</v>
      </c>
      <c r="D88" s="10">
        <v>80375000</v>
      </c>
      <c r="E88" s="10">
        <v>59883000</v>
      </c>
      <c r="L88" s="32" t="s">
        <v>138</v>
      </c>
      <c r="M88" s="33">
        <f>E62</f>
        <v>494655000</v>
      </c>
    </row>
    <row r="89" spans="1:13" ht="20" x14ac:dyDescent="0.25">
      <c r="A89" s="5" t="s">
        <v>74</v>
      </c>
      <c r="B89" s="1">
        <v>-39465000</v>
      </c>
      <c r="C89" s="1">
        <v>-40575000</v>
      </c>
      <c r="D89" s="1">
        <v>-121089000</v>
      </c>
      <c r="E89" s="1">
        <v>-187880000</v>
      </c>
      <c r="L89" s="34" t="s">
        <v>139</v>
      </c>
      <c r="M89" s="35">
        <f>M86/(M87+M88)</f>
        <v>2.8809578249392006E-2</v>
      </c>
    </row>
    <row r="90" spans="1:13" ht="20" customHeight="1" x14ac:dyDescent="0.25">
      <c r="A90" s="14" t="s">
        <v>104</v>
      </c>
      <c r="B90" s="15">
        <f t="shared" ref="B90:E90" si="9">(-1*B89)/B4</f>
        <v>0.1655633306484092</v>
      </c>
      <c r="C90" s="15">
        <f t="shared" si="9"/>
        <v>0.12392605058443006</v>
      </c>
      <c r="D90" s="15">
        <f t="shared" si="9"/>
        <v>0.2432111610119789</v>
      </c>
      <c r="E90" s="15">
        <f t="shared" si="9"/>
        <v>0.25423132506644008</v>
      </c>
      <c r="L90" s="32" t="s">
        <v>140</v>
      </c>
      <c r="M90" s="33">
        <f>E28</f>
        <v>2599000</v>
      </c>
    </row>
    <row r="91" spans="1:13" ht="20" x14ac:dyDescent="0.25">
      <c r="A91" s="5" t="s">
        <v>75</v>
      </c>
      <c r="B91" s="1">
        <v>-530000</v>
      </c>
      <c r="C91" s="1">
        <v>-5094000</v>
      </c>
      <c r="D91" s="1" t="s">
        <v>91</v>
      </c>
      <c r="E91" s="1" t="s">
        <v>91</v>
      </c>
      <c r="L91" s="32" t="s">
        <v>19</v>
      </c>
      <c r="M91" s="33">
        <f>E26</f>
        <v>-16654000</v>
      </c>
    </row>
    <row r="92" spans="1:13" ht="20" x14ac:dyDescent="0.25">
      <c r="A92" s="5" t="s">
        <v>76</v>
      </c>
      <c r="B92" s="1" t="s">
        <v>91</v>
      </c>
      <c r="C92" s="1" t="s">
        <v>91</v>
      </c>
      <c r="D92" s="1" t="s">
        <v>91</v>
      </c>
      <c r="E92" s="1" t="s">
        <v>91</v>
      </c>
      <c r="L92" s="34" t="s">
        <v>141</v>
      </c>
      <c r="M92" s="35">
        <f>M90/M91</f>
        <v>-0.15605860453944997</v>
      </c>
    </row>
    <row r="93" spans="1:13" ht="20" x14ac:dyDescent="0.25">
      <c r="A93" s="5" t="s">
        <v>77</v>
      </c>
      <c r="B93" s="1" t="s">
        <v>91</v>
      </c>
      <c r="C93" s="1" t="s">
        <v>91</v>
      </c>
      <c r="D93" s="1" t="s">
        <v>91</v>
      </c>
      <c r="E93" s="1" t="s">
        <v>91</v>
      </c>
      <c r="L93" s="36" t="s">
        <v>142</v>
      </c>
      <c r="M93" s="37">
        <f>M89*(1-M92)</f>
        <v>3.330556082836221E-2</v>
      </c>
    </row>
    <row r="94" spans="1:13" ht="19" x14ac:dyDescent="0.25">
      <c r="A94" s="5" t="s">
        <v>78</v>
      </c>
      <c r="B94" s="1">
        <v>47000</v>
      </c>
      <c r="C94" s="1">
        <v>99000</v>
      </c>
      <c r="D94" s="1">
        <v>-121089000</v>
      </c>
      <c r="E94" s="1">
        <v>-4692000</v>
      </c>
      <c r="L94" s="75" t="s">
        <v>143</v>
      </c>
      <c r="M94" s="76"/>
    </row>
    <row r="95" spans="1:13" ht="20" x14ac:dyDescent="0.25">
      <c r="A95" s="6" t="s">
        <v>79</v>
      </c>
      <c r="B95" s="10">
        <v>-39948000</v>
      </c>
      <c r="C95" s="10">
        <v>-45570000</v>
      </c>
      <c r="D95" s="10">
        <v>-121089000</v>
      </c>
      <c r="E95" s="10">
        <v>-192572000</v>
      </c>
      <c r="L95" s="32" t="s">
        <v>144</v>
      </c>
      <c r="M95" s="38">
        <f>[1]Treasuries!$C$8</f>
        <v>3.739E-2</v>
      </c>
    </row>
    <row r="96" spans="1:13" ht="20" x14ac:dyDescent="0.25">
      <c r="A96" s="5" t="s">
        <v>80</v>
      </c>
      <c r="B96" s="1">
        <v>-6055000</v>
      </c>
      <c r="C96" s="1">
        <v>-29423000</v>
      </c>
      <c r="D96" s="1" t="s">
        <v>91</v>
      </c>
      <c r="E96" s="1">
        <v>-10569000</v>
      </c>
      <c r="L96" s="32" t="s">
        <v>145</v>
      </c>
      <c r="M96" s="39" cm="1">
        <f t="array" ref="M96">_FV(A1,"Beta")</f>
        <v>2.3740000000000001</v>
      </c>
    </row>
    <row r="97" spans="1:13" ht="20" x14ac:dyDescent="0.25">
      <c r="A97" s="5" t="s">
        <v>81</v>
      </c>
      <c r="B97" s="1" t="s">
        <v>91</v>
      </c>
      <c r="C97" s="1" t="s">
        <v>91</v>
      </c>
      <c r="D97" s="1" t="s">
        <v>91</v>
      </c>
      <c r="E97" s="1" t="s">
        <v>91</v>
      </c>
      <c r="L97" s="32" t="s">
        <v>146</v>
      </c>
      <c r="M97" s="38">
        <v>8.4000000000000005E-2</v>
      </c>
    </row>
    <row r="98" spans="1:13" ht="20" x14ac:dyDescent="0.25">
      <c r="A98" s="5" t="s">
        <v>82</v>
      </c>
      <c r="B98" s="1" t="s">
        <v>91</v>
      </c>
      <c r="C98" s="1" t="s">
        <v>91</v>
      </c>
      <c r="D98" s="1" t="s">
        <v>91</v>
      </c>
      <c r="E98" s="1" t="s">
        <v>91</v>
      </c>
      <c r="L98" s="36" t="s">
        <v>147</v>
      </c>
      <c r="M98" s="37">
        <f>(M95)+((M96)*(M97-M95))</f>
        <v>0.14804214000000002</v>
      </c>
    </row>
    <row r="99" spans="1:13" ht="19" x14ac:dyDescent="0.25">
      <c r="A99" s="5" t="s">
        <v>83</v>
      </c>
      <c r="B99" s="1" t="s">
        <v>91</v>
      </c>
      <c r="C99" s="1" t="s">
        <v>91</v>
      </c>
      <c r="D99" s="1" t="s">
        <v>91</v>
      </c>
      <c r="E99" s="1">
        <v>0</v>
      </c>
      <c r="L99" s="75" t="s">
        <v>148</v>
      </c>
      <c r="M99" s="76"/>
    </row>
    <row r="100" spans="1:13" ht="20" x14ac:dyDescent="0.25">
      <c r="A100" s="5" t="s">
        <v>84</v>
      </c>
      <c r="B100" s="1">
        <v>-6625000</v>
      </c>
      <c r="C100" s="1">
        <v>37500000</v>
      </c>
      <c r="D100" s="1">
        <v>27580000</v>
      </c>
      <c r="E100" s="1">
        <v>144930000</v>
      </c>
      <c r="L100" s="32" t="s">
        <v>149</v>
      </c>
      <c r="M100" s="33">
        <f>M87+M88</f>
        <v>625417000</v>
      </c>
    </row>
    <row r="101" spans="1:13" ht="20" x14ac:dyDescent="0.25">
      <c r="A101" s="6" t="s">
        <v>85</v>
      </c>
      <c r="B101" s="10">
        <v>-12680000</v>
      </c>
      <c r="C101" s="10">
        <v>8077000</v>
      </c>
      <c r="D101" s="10">
        <v>27580000</v>
      </c>
      <c r="E101" s="10">
        <v>134361000</v>
      </c>
      <c r="L101" s="34" t="s">
        <v>150</v>
      </c>
      <c r="M101" s="35">
        <f>M100/M104</f>
        <v>0.12139015809442694</v>
      </c>
    </row>
    <row r="102" spans="1:13" ht="20" x14ac:dyDescent="0.25">
      <c r="A102" s="5" t="s">
        <v>86</v>
      </c>
      <c r="B102" s="1" t="s">
        <v>91</v>
      </c>
      <c r="C102" s="1" t="s">
        <v>91</v>
      </c>
      <c r="D102" s="1" t="s">
        <v>91</v>
      </c>
      <c r="E102" s="1" t="s">
        <v>91</v>
      </c>
      <c r="L102" s="32" t="s">
        <v>151</v>
      </c>
      <c r="M102" s="40" cm="1">
        <f t="array" ref="M102">_FV(A1,"Market cap",TRUE)</f>
        <v>4526705790</v>
      </c>
    </row>
    <row r="103" spans="1:13" ht="20" x14ac:dyDescent="0.25">
      <c r="A103" s="6" t="s">
        <v>87</v>
      </c>
      <c r="B103" s="10">
        <v>4074000</v>
      </c>
      <c r="C103" s="10">
        <v>16056000</v>
      </c>
      <c r="D103" s="10">
        <v>-13134000</v>
      </c>
      <c r="E103" s="10">
        <v>1672000</v>
      </c>
      <c r="L103" s="34" t="s">
        <v>152</v>
      </c>
      <c r="M103" s="35">
        <f>M102/M104</f>
        <v>0.87860984190557301</v>
      </c>
    </row>
    <row r="104" spans="1:13" ht="20" x14ac:dyDescent="0.25">
      <c r="A104" s="5" t="s">
        <v>88</v>
      </c>
      <c r="B104" s="1">
        <v>11510000</v>
      </c>
      <c r="C104" s="1">
        <v>15584000</v>
      </c>
      <c r="D104" s="1">
        <v>31640000</v>
      </c>
      <c r="E104" s="1">
        <v>18506000</v>
      </c>
      <c r="L104" s="36" t="s">
        <v>153</v>
      </c>
      <c r="M104" s="41">
        <f>M100+M102</f>
        <v>5152122790</v>
      </c>
    </row>
    <row r="105" spans="1:13" ht="20" thickBot="1" x14ac:dyDescent="0.3">
      <c r="A105" s="7" t="s">
        <v>89</v>
      </c>
      <c r="B105" s="11">
        <v>15584000</v>
      </c>
      <c r="C105" s="11">
        <v>31640000</v>
      </c>
      <c r="D105" s="11">
        <v>18506000</v>
      </c>
      <c r="E105" s="11">
        <v>20178000</v>
      </c>
      <c r="L105" s="75" t="s">
        <v>154</v>
      </c>
      <c r="M105" s="76"/>
    </row>
    <row r="106" spans="1:13" ht="21" thickTop="1" x14ac:dyDescent="0.25">
      <c r="A106" s="14" t="s">
        <v>174</v>
      </c>
      <c r="B106" s="1">
        <f t="shared" ref="B106:C106" si="10">(B23*(1-0.2))+B78+B89+B82</f>
        <v>6000600</v>
      </c>
      <c r="C106" s="1">
        <f t="shared" si="10"/>
        <v>-19877400</v>
      </c>
      <c r="D106" s="1">
        <f>(D23*(1-0.2))+D78+D89+D82</f>
        <v>-178310600</v>
      </c>
      <c r="E106" s="1">
        <f>(E23*(1-0.2))+E78+E89+E82</f>
        <v>-153568600</v>
      </c>
      <c r="F106" s="44">
        <f>E106*(1+$M$107)</f>
        <v>-190111652.16279703</v>
      </c>
      <c r="G106" s="44">
        <f t="shared" ref="G106:J106" si="11">F106*(1+$M$107)</f>
        <v>-235350457.63305995</v>
      </c>
      <c r="H106" s="44">
        <f t="shared" si="11"/>
        <v>-291354250.39943969</v>
      </c>
      <c r="I106" s="44">
        <f t="shared" si="11"/>
        <v>-360684657.59335405</v>
      </c>
      <c r="J106" s="44">
        <f t="shared" si="11"/>
        <v>-446512868.93834597</v>
      </c>
      <c r="K106" s="45" t="s">
        <v>172</v>
      </c>
      <c r="L106" s="42" t="s">
        <v>155</v>
      </c>
      <c r="M106" s="43">
        <f>(M101*M93)+(M103*M98)</f>
        <v>0.13411424851514117</v>
      </c>
    </row>
    <row r="107" spans="1:13" ht="19" x14ac:dyDescent="0.25">
      <c r="A107" s="14" t="s">
        <v>175</v>
      </c>
      <c r="B107" s="1"/>
      <c r="C107" s="15">
        <f>(C108/B108)-1</f>
        <v>-0.24731681847189191</v>
      </c>
      <c r="D107" s="15">
        <f>(D108/C108)-1</f>
        <v>5.1950824726375826</v>
      </c>
      <c r="E107" s="15">
        <f>(E108/D108)-1</f>
        <v>-2.5924976671850697</v>
      </c>
      <c r="F107" s="69">
        <v>-105200000</v>
      </c>
      <c r="G107" s="69">
        <v>-66125000</v>
      </c>
      <c r="H107" s="69">
        <v>5000000</v>
      </c>
      <c r="I107" s="69">
        <v>150000000</v>
      </c>
      <c r="J107" s="69">
        <v>250000000</v>
      </c>
      <c r="K107" s="45" t="s">
        <v>173</v>
      </c>
      <c r="L107" s="46" t="s">
        <v>156</v>
      </c>
      <c r="M107" s="47">
        <f>(SUM(F5:J5)/5)</f>
        <v>0.23795914114471986</v>
      </c>
    </row>
    <row r="108" spans="1:13" ht="19" x14ac:dyDescent="0.25">
      <c r="A108" s="28" t="s">
        <v>176</v>
      </c>
      <c r="B108" s="1">
        <v>17237000</v>
      </c>
      <c r="C108" s="1">
        <v>12974000</v>
      </c>
      <c r="D108" s="1">
        <v>80375000</v>
      </c>
      <c r="E108" s="1">
        <v>-127997000</v>
      </c>
      <c r="F108" s="45"/>
      <c r="G108" s="45"/>
      <c r="H108" s="45"/>
      <c r="I108" s="45"/>
      <c r="J108" s="70">
        <f>J107*(1+M108)/(M109-M108)</f>
        <v>2348455893.5897503</v>
      </c>
      <c r="K108" s="48" t="s">
        <v>157</v>
      </c>
      <c r="L108" s="49" t="s">
        <v>158</v>
      </c>
      <c r="M108" s="50">
        <v>2.5000000000000001E-2</v>
      </c>
    </row>
    <row r="109" spans="1:13" ht="19" x14ac:dyDescent="0.25">
      <c r="F109" s="70">
        <f t="shared" ref="F109:I109" si="12">F108+F107</f>
        <v>-105200000</v>
      </c>
      <c r="G109" s="70">
        <f t="shared" si="12"/>
        <v>-66125000</v>
      </c>
      <c r="H109" s="70">
        <f t="shared" si="12"/>
        <v>5000000</v>
      </c>
      <c r="I109" s="70">
        <f t="shared" si="12"/>
        <v>150000000</v>
      </c>
      <c r="J109" s="70">
        <f>J108+J107</f>
        <v>2598455893.5897503</v>
      </c>
      <c r="K109" s="48" t="s">
        <v>153</v>
      </c>
      <c r="L109" s="51" t="s">
        <v>159</v>
      </c>
      <c r="M109" s="52">
        <f>M106</f>
        <v>0.13411424851514117</v>
      </c>
    </row>
    <row r="110" spans="1:13" ht="19" x14ac:dyDescent="0.25">
      <c r="F110" s="71" t="s">
        <v>160</v>
      </c>
      <c r="G110" s="72"/>
    </row>
    <row r="111" spans="1:13" ht="20" x14ac:dyDescent="0.25">
      <c r="F111" s="53" t="s">
        <v>161</v>
      </c>
      <c r="G111" s="40">
        <f>NPV(M109,F109,G109,H109,I109,J109)</f>
        <v>1334868756.5956216</v>
      </c>
    </row>
    <row r="112" spans="1:13" ht="20" x14ac:dyDescent="0.25">
      <c r="F112" s="53" t="s">
        <v>162</v>
      </c>
      <c r="G112" s="40">
        <f>E41</f>
        <v>20178000</v>
      </c>
    </row>
    <row r="113" spans="6:7" ht="20" x14ac:dyDescent="0.25">
      <c r="F113" s="53" t="s">
        <v>149</v>
      </c>
      <c r="G113" s="40">
        <f>M100</f>
        <v>625417000</v>
      </c>
    </row>
    <row r="114" spans="6:7" ht="20" x14ac:dyDescent="0.25">
      <c r="F114" s="53" t="s">
        <v>163</v>
      </c>
      <c r="G114" s="40">
        <f>G111+G112-G113</f>
        <v>729629756.59562159</v>
      </c>
    </row>
    <row r="115" spans="6:7" ht="20" x14ac:dyDescent="0.25">
      <c r="F115" s="53" t="s">
        <v>168</v>
      </c>
      <c r="G115" s="54">
        <f>E35*(1+(5*K17))</f>
        <v>61343813.832482196</v>
      </c>
    </row>
    <row r="116" spans="6:7" ht="20" x14ac:dyDescent="0.25">
      <c r="F116" s="55" t="s">
        <v>164</v>
      </c>
      <c r="G116" s="56">
        <f>G114/G115</f>
        <v>11.894104898467772</v>
      </c>
    </row>
    <row r="117" spans="6:7" ht="20" x14ac:dyDescent="0.25">
      <c r="F117" s="53" t="s">
        <v>165</v>
      </c>
      <c r="G117" s="57" cm="1">
        <f t="array" ref="G117">_FV(A1,"Price")</f>
        <v>27.63</v>
      </c>
    </row>
    <row r="118" spans="6:7" ht="20" x14ac:dyDescent="0.25">
      <c r="F118" s="58" t="s">
        <v>166</v>
      </c>
      <c r="G118" s="59">
        <f>G116/G117-1</f>
        <v>-0.56952208112675451</v>
      </c>
    </row>
    <row r="119" spans="6:7" ht="20" x14ac:dyDescent="0.25">
      <c r="F119" s="58" t="s">
        <v>167</v>
      </c>
      <c r="G119" s="60" t="str">
        <f>IF(G116&gt;G117,"BUY","SELL")</f>
        <v>SELL</v>
      </c>
    </row>
  </sheetData>
  <mergeCells count="6">
    <mergeCell ref="F110:G110"/>
    <mergeCell ref="L84:M84"/>
    <mergeCell ref="L85:M85"/>
    <mergeCell ref="L94:M94"/>
    <mergeCell ref="L99:M99"/>
    <mergeCell ref="L105:M10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 ref="K107" r:id="rId11" xr:uid="{8B5863B4-CC3F-994A-A54F-26EA50952A3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2023-03-11T13:13:09Z</dcterms:created>
  <dcterms:modified xsi:type="dcterms:W3CDTF">2023-06-26T22:30:35Z</dcterms:modified>
</cp:coreProperties>
</file>