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042ABC09-B69E-F14E-B50B-A280DFAD58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4" i="1" l="1"/>
  <c r="Y30" i="1" l="1"/>
  <c r="Z30" i="1"/>
  <c r="AA30" i="1"/>
  <c r="AB30" i="1"/>
  <c r="X30" i="1"/>
  <c r="Y21" i="1"/>
  <c r="Z21" i="1"/>
  <c r="AA21" i="1"/>
  <c r="AB21" i="1"/>
  <c r="X21" i="1"/>
  <c r="X29" i="1"/>
  <c r="Y29" i="1"/>
  <c r="Z29" i="1"/>
  <c r="AA29" i="1"/>
  <c r="AB29" i="1"/>
  <c r="X20" i="1"/>
  <c r="Y20" i="1"/>
  <c r="Z20" i="1"/>
  <c r="AA20" i="1"/>
  <c r="AB20" i="1"/>
  <c r="X108" i="1"/>
  <c r="Y108" i="1"/>
  <c r="Z108" i="1"/>
  <c r="AA108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AE95" i="1" l="1" a="1"/>
  <c r="AE95" i="1" s="1"/>
  <c r="Y116" i="1" a="1"/>
  <c r="Y116" i="1" s="1"/>
  <c r="Y111" i="1"/>
  <c r="AE101" i="1" a="1"/>
  <c r="AE101" i="1" s="1"/>
  <c r="AE90" i="1"/>
  <c r="AE89" i="1"/>
  <c r="AE91" i="1" s="1"/>
  <c r="AE87" i="1"/>
  <c r="AE86" i="1"/>
  <c r="AE99" i="1" s="1"/>
  <c r="AE85" i="1"/>
  <c r="AE88" i="1" s="1"/>
  <c r="AC19" i="1"/>
  <c r="AC16" i="1"/>
  <c r="AF13" i="1"/>
  <c r="AE13" i="1"/>
  <c r="AD13" i="1"/>
  <c r="AC13" i="1"/>
  <c r="AF10" i="1"/>
  <c r="AE10" i="1"/>
  <c r="AD10" i="1"/>
  <c r="AC10" i="1"/>
  <c r="AF7" i="1"/>
  <c r="AE7" i="1"/>
  <c r="AD7" i="1"/>
  <c r="AC7" i="1"/>
  <c r="AE4" i="1"/>
  <c r="AD4" i="1"/>
  <c r="AC4" i="1"/>
  <c r="AB4" i="1"/>
  <c r="AA4" i="1"/>
  <c r="Z4" i="1"/>
  <c r="Y4" i="1"/>
  <c r="X4" i="1"/>
  <c r="W106" i="1"/>
  <c r="AF4" i="1" s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F22" i="1" l="1"/>
  <c r="AE22" i="1"/>
  <c r="AF19" i="1"/>
  <c r="AE19" i="1"/>
  <c r="AD19" i="1"/>
  <c r="AE106" i="1"/>
  <c r="X105" i="1" s="1"/>
  <c r="Y105" i="1" s="1"/>
  <c r="Z105" i="1" s="1"/>
  <c r="AA105" i="1" s="1"/>
  <c r="AB105" i="1" s="1"/>
  <c r="AE103" i="1"/>
  <c r="AE100" i="1" s="1"/>
  <c r="Y112" i="1"/>
  <c r="AF16" i="1"/>
  <c r="AE16" i="1"/>
  <c r="AD16" i="1"/>
  <c r="AE92" i="1"/>
  <c r="AE102" i="1" l="1"/>
  <c r="AE94" i="1" l="1"/>
  <c r="AE97" i="1" s="1"/>
  <c r="AE105" i="1" s="1"/>
  <c r="AE108" i="1" s="1"/>
  <c r="AB107" i="1" l="1"/>
  <c r="AB108" i="1" s="1"/>
  <c r="Y110" i="1" s="1"/>
  <c r="Y113" i="1" s="1"/>
  <c r="Y115" i="1" s="1"/>
  <c r="Y118" i="1" l="1"/>
  <c r="Y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<sst xmlns="http://schemas.openxmlformats.org/spreadsheetml/2006/main" count="638" uniqueCount="167">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</sst>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164" fontId="1" fillId="7" borderId="0" xfId="0" applyNumberFormat="1" applyFont="1" applyFill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11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RMS.PA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376237623762E-2"/>
          <c:y val="0.1161933750620595"/>
          <c:w val="0.85757095709570952"/>
          <c:h val="0.728095991536709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1'!$B$3:$W$3</c:f>
              <c:numCache>
                <c:formatCode>#,###,,;\(#,###,,\);\ \-\ \-</c:formatCode>
                <c:ptCount val="22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F-B44D-91FD-A3CD7323679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1'!$B$19:$W$19</c:f>
              <c:numCache>
                <c:formatCode>#,###,,;\(#,###,,\);\ \-\ \-</c:formatCode>
                <c:ptCount val="22"/>
                <c:pt idx="0">
                  <c:v>365300000</c:v>
                </c:pt>
                <c:pt idx="1">
                  <c:v>380300000</c:v>
                </c:pt>
                <c:pt idx="2">
                  <c:v>391400000</c:v>
                </c:pt>
                <c:pt idx="3">
                  <c:v>409300000</c:v>
                </c:pt>
                <c:pt idx="4">
                  <c:v>436500000</c:v>
                </c:pt>
                <c:pt idx="5">
                  <c:v>463300000</c:v>
                </c:pt>
                <c:pt idx="6">
                  <c:v>502200000</c:v>
                </c:pt>
                <c:pt idx="7">
                  <c:v>529900000</c:v>
                </c:pt>
                <c:pt idx="8">
                  <c:v>538000000</c:v>
                </c:pt>
                <c:pt idx="9">
                  <c:v>749700000</c:v>
                </c:pt>
                <c:pt idx="10">
                  <c:v>1004300000</c:v>
                </c:pt>
                <c:pt idx="11">
                  <c:v>1207600000</c:v>
                </c:pt>
                <c:pt idx="12">
                  <c:v>1324200000</c:v>
                </c:pt>
                <c:pt idx="13">
                  <c:v>1428800000</c:v>
                </c:pt>
                <c:pt idx="14">
                  <c:v>1687500000</c:v>
                </c:pt>
                <c:pt idx="15">
                  <c:v>1859100000</c:v>
                </c:pt>
                <c:pt idx="16">
                  <c:v>2093500000</c:v>
                </c:pt>
                <c:pt idx="17">
                  <c:v>2297200000</c:v>
                </c:pt>
                <c:pt idx="18">
                  <c:v>2751300000</c:v>
                </c:pt>
                <c:pt idx="19">
                  <c:v>2544900000</c:v>
                </c:pt>
                <c:pt idx="20">
                  <c:v>4055000000</c:v>
                </c:pt>
                <c:pt idx="21">
                  <c:v>5304000000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F-B44D-91FD-A3CD73236796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1'!$B$107:$W$107</c:f>
              <c:numCache>
                <c:formatCode>#,###,,;\(#,###,,\);\ \-\ \-</c:formatCode>
                <c:ptCount val="22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F-B44D-91FD-A3CD7323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4611663"/>
        <c:axId val="354613391"/>
      </c:barChart>
      <c:catAx>
        <c:axId val="3546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3391"/>
        <c:crosses val="autoZero"/>
        <c:auto val="1"/>
        <c:lblAlgn val="ctr"/>
        <c:lblOffset val="100"/>
        <c:noMultiLvlLbl val="0"/>
      </c:catAx>
      <c:valAx>
        <c:axId val="3546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04329409318891"/>
          <c:y val="0.91868354994223245"/>
          <c:w val="0.30255367584002496"/>
          <c:h val="4.8317039332959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15875</xdr:colOff>
      <xdr:row>108</xdr:row>
      <xdr:rowOff>9524</xdr:rowOff>
    </xdr:from>
    <xdr:to>
      <xdr:col>31</xdr:col>
      <xdr:colOff>15875</xdr:colOff>
      <xdr:row>131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635CB-B6F4-DA8B-72EC-141141C38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Treasuries"/>
      <sheetName val="All Stars"/>
      <sheetName val="ROIC Port"/>
      <sheetName val="To Be Modeled"/>
      <sheetName val="My Holdings"/>
      <sheetName val="Stable Growth"/>
      <sheetName val="High Growth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">
          <cell r="C8">
            <v>3.739E-2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2036</v>
    <v>972.4</v>
    <v>0.73140000000000005</v>
    <v>13.2</v>
    <v>6.9420000000000003E-3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19686</v>
    <v>Euronext Paris</v>
    <v>XPAR</v>
    <v>XPAR</v>
    <v>24 rue du Faubourg Saint Honore, PARIS, ILE-DE-FRANCE, 75008 FR</v>
    <v>1916.8</v>
    <v>Textiles &amp; Apparel</v>
    <v>Stock</v>
    <v>45103.464085648149</v>
    <v>0</v>
    <v>1901</v>
    <v>200729700000</v>
    <v>Hermes International SCA</v>
    <v>Hermes International SCA</v>
    <v>1909.8</v>
    <v>59.048999999999999</v>
    <v>1901.4</v>
    <v>1914.6</v>
    <v>105569400</v>
    <v>RMS</v>
    <v>Hermes International SCA (XPAR:RMS)</v>
    <v>9127</v>
    <v>69050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hyperlink" Target="https://finbox.com/ENXTPA:RMS/explorer/fcf_unlev_proj" TargetMode="Externa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ENXTPA:RMS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"/>
  <sheetViews>
    <sheetView tabSelected="1" zoomScale="80" zoomScaleNormal="80" workbookViewId="0">
      <pane xSplit="1" ySplit="1" topLeftCell="U2" activePane="bottomRight" state="frozen"/>
      <selection pane="topRight"/>
      <selection pane="bottomLeft"/>
      <selection pane="bottomRight" activeCell="Z11" sqref="Z11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7">
        <v>2023</v>
      </c>
      <c r="Y1" s="27">
        <v>2024</v>
      </c>
      <c r="Z1" s="27">
        <v>2025</v>
      </c>
      <c r="AA1" s="27">
        <v>2026</v>
      </c>
      <c r="AB1" s="27">
        <v>2027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8">
        <v>13698000000</v>
      </c>
      <c r="Y3" s="28">
        <v>15146000000</v>
      </c>
      <c r="Z3" s="28">
        <v>16451000000</v>
      </c>
      <c r="AA3" s="28">
        <v>17158000000</v>
      </c>
      <c r="AB3" s="28">
        <v>18960000000</v>
      </c>
      <c r="AC3" s="18" t="s">
        <v>107</v>
      </c>
      <c r="AD3" s="19" t="s">
        <v>108</v>
      </c>
      <c r="AE3" s="19" t="s">
        <v>109</v>
      </c>
      <c r="AF3" s="19" t="s">
        <v>110</v>
      </c>
    </row>
    <row r="4" spans="1:32" ht="19" x14ac:dyDescent="0.25">
      <c r="A4" s="14" t="s">
        <v>93</v>
      </c>
      <c r="B4" s="1"/>
      <c r="C4" s="15">
        <f>(C3/B3)-1</f>
        <v>1.2551960224957304E-2</v>
      </c>
      <c r="D4" s="15">
        <f>(D3/C3)-1</f>
        <v>-9.9009900990099098E-3</v>
      </c>
      <c r="E4" s="15">
        <f>(E3/D3)-1</f>
        <v>8.2601626016260088E-2</v>
      </c>
      <c r="F4" s="15">
        <f t="shared" ref="F4:AB4" si="0">(F3/E3)-1</f>
        <v>7.1943526584559825E-2</v>
      </c>
      <c r="G4" s="15">
        <f t="shared" si="0"/>
        <v>6.1300266218299093E-2</v>
      </c>
      <c r="H4" s="16">
        <f t="shared" si="0"/>
        <v>7.2744075516535833E-2</v>
      </c>
      <c r="I4" s="16">
        <f t="shared" si="0"/>
        <v>8.584087133099505E-2</v>
      </c>
      <c r="J4" s="16">
        <f t="shared" si="0"/>
        <v>8.4835090105406241E-2</v>
      </c>
      <c r="K4" s="16">
        <f t="shared" si="0"/>
        <v>0.25413989447839946</v>
      </c>
      <c r="L4" s="16">
        <f t="shared" si="0"/>
        <v>0.18343885371542812</v>
      </c>
      <c r="M4" s="16">
        <f t="shared" si="0"/>
        <v>0.22627762917077288</v>
      </c>
      <c r="N4" s="16">
        <f t="shared" si="0"/>
        <v>7.7695818145288698E-2</v>
      </c>
      <c r="O4" s="16">
        <f t="shared" si="0"/>
        <v>9.6889315010120436E-2</v>
      </c>
      <c r="P4" s="16">
        <f t="shared" si="0"/>
        <v>0.17539940756567773</v>
      </c>
      <c r="Q4" s="16">
        <f t="shared" si="0"/>
        <v>7.4612683329890572E-2</v>
      </c>
      <c r="R4" s="16">
        <f t="shared" si="0"/>
        <v>6.6683326285033262E-2</v>
      </c>
      <c r="S4" s="16">
        <f t="shared" si="0"/>
        <v>7.5147321187219562E-2</v>
      </c>
      <c r="T4" s="16">
        <f t="shared" si="0"/>
        <v>0.15375203231591827</v>
      </c>
      <c r="U4" s="16">
        <f t="shared" si="0"/>
        <v>-7.1766859400877459E-2</v>
      </c>
      <c r="V4" s="16">
        <f t="shared" si="0"/>
        <v>0.40576579960559678</v>
      </c>
      <c r="W4" s="16">
        <f t="shared" si="0"/>
        <v>0.2916945001113338</v>
      </c>
      <c r="X4" s="16">
        <f t="shared" si="0"/>
        <v>0.18065850715393905</v>
      </c>
      <c r="Y4" s="16">
        <f t="shared" si="0"/>
        <v>0.10570886260767987</v>
      </c>
      <c r="Z4" s="16">
        <f t="shared" si="0"/>
        <v>8.6161362736035807E-2</v>
      </c>
      <c r="AA4" s="16">
        <f t="shared" si="0"/>
        <v>4.2976110874718865E-2</v>
      </c>
      <c r="AB4" s="16">
        <f t="shared" si="0"/>
        <v>0.10502389555892289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(W106+V106+U106)/3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111</v>
      </c>
      <c r="AD6" s="19" t="s">
        <v>112</v>
      </c>
      <c r="AE6" s="19" t="s">
        <v>113</v>
      </c>
      <c r="AF6" s="19" t="s">
        <v>114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W21</f>
        <v>0.4572</v>
      </c>
      <c r="AE7" s="20">
        <f>W30</f>
        <v>0.29020000000000001</v>
      </c>
      <c r="AF7" s="20">
        <f>W107/W3</f>
        <v>0.36062747802103085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94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95</v>
      </c>
      <c r="AD9" s="19" t="s">
        <v>96</v>
      </c>
      <c r="AE9" s="19" t="s">
        <v>97</v>
      </c>
      <c r="AF9" s="19" t="s">
        <v>98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91</v>
      </c>
      <c r="T10" s="1">
        <v>1815700000</v>
      </c>
      <c r="U10" s="1">
        <v>278700000</v>
      </c>
      <c r="V10" s="1">
        <v>2137000000</v>
      </c>
      <c r="W10" s="1" t="s">
        <v>91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1130800000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>
        <v>1771200000</v>
      </c>
      <c r="T11" s="1" t="s">
        <v>91</v>
      </c>
      <c r="U11" s="1">
        <v>1419800000</v>
      </c>
      <c r="V11" s="1" t="s">
        <v>91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115</v>
      </c>
      <c r="AD12" s="19" t="s">
        <v>116</v>
      </c>
      <c r="AE12" s="19" t="s">
        <v>117</v>
      </c>
      <c r="AF12" s="19" t="s">
        <v>118</v>
      </c>
    </row>
    <row r="13" spans="1:32" ht="19" x14ac:dyDescent="0.25">
      <c r="A13" s="14" t="s">
        <v>99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91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119</v>
      </c>
      <c r="AD15" s="19" t="s">
        <v>120</v>
      </c>
      <c r="AE15" s="19" t="s">
        <v>121</v>
      </c>
      <c r="AF15" s="19" t="s">
        <v>122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9">
        <f>(W35+V35+U35+T35+S35)/5</f>
        <v>-4.8227323990037534E-2</v>
      </c>
      <c r="AD16" s="30">
        <f>AE101/W3</f>
        <v>17.301301499741424</v>
      </c>
      <c r="AE16" s="30">
        <f>AE101/W28</f>
        <v>59.616780516780516</v>
      </c>
      <c r="AF16" s="31">
        <f>AE101/W107</f>
        <v>47.975549713193118</v>
      </c>
    </row>
    <row r="17" spans="1:32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12700000</v>
      </c>
      <c r="K17" s="1" t="s">
        <v>91</v>
      </c>
      <c r="L17" s="1" t="s">
        <v>91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32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123</v>
      </c>
      <c r="AD18" s="19" t="s">
        <v>162</v>
      </c>
      <c r="AE18" s="19" t="s">
        <v>163</v>
      </c>
      <c r="AF18" s="19" t="s">
        <v>164</v>
      </c>
    </row>
    <row r="19" spans="1:32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X19" s="63">
        <v>6258000000</v>
      </c>
      <c r="Y19" s="63">
        <v>7097000002</v>
      </c>
      <c r="Z19" s="63">
        <v>7856000003</v>
      </c>
      <c r="AA19" s="63">
        <v>7706000004</v>
      </c>
      <c r="AB19" s="63">
        <v>8341000005</v>
      </c>
      <c r="AC19" s="32">
        <f>W40-W56-W61</f>
        <v>7291000000</v>
      </c>
      <c r="AD19" s="68">
        <f>AE101/X3</f>
        <v>14.653942181340343</v>
      </c>
      <c r="AE19" s="68">
        <f>AE101/X28</f>
        <v>50.472642682807987</v>
      </c>
      <c r="AF19" s="69">
        <f>AE101/X106</f>
        <v>52.492076359832637</v>
      </c>
    </row>
    <row r="20" spans="1:32" ht="19" customHeight="1" x14ac:dyDescent="0.25">
      <c r="A20" s="14" t="s">
        <v>100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  <c r="X20" s="16">
        <f t="shared" ref="X20" si="4">(X19/W19)-1</f>
        <v>0.17986425339366519</v>
      </c>
      <c r="Y20" s="16">
        <f t="shared" ref="Y20" si="5">(Y19/X19)-1</f>
        <v>0.13406839277724503</v>
      </c>
      <c r="Z20" s="16">
        <f t="shared" ref="Z20" si="6">(Z19/Y19)-1</f>
        <v>0.10694659726449296</v>
      </c>
      <c r="AA20" s="16">
        <f t="shared" ref="AA20" si="7">(AA19/Z19)-1</f>
        <v>-1.9093686219796235E-2</v>
      </c>
      <c r="AB20" s="16">
        <f t="shared" ref="AB20" si="8">(AB19/AA19)-1</f>
        <v>8.2403322173681071E-2</v>
      </c>
    </row>
    <row r="21" spans="1:32" ht="20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62">
        <v>0.4572</v>
      </c>
      <c r="X21" s="64">
        <f>X19/X3</f>
        <v>0.45685501533070522</v>
      </c>
      <c r="Y21" s="64">
        <f t="shared" ref="Y21:AB21" si="9">Y19/Y3</f>
        <v>0.46857256054403801</v>
      </c>
      <c r="Z21" s="64">
        <f t="shared" si="9"/>
        <v>0.47753935949182419</v>
      </c>
      <c r="AA21" s="64">
        <f t="shared" si="9"/>
        <v>0.44911994428255042</v>
      </c>
      <c r="AB21" s="64">
        <f t="shared" si="9"/>
        <v>0.43992616060126583</v>
      </c>
      <c r="AE21" s="18" t="s">
        <v>165</v>
      </c>
      <c r="AF21" s="19" t="s">
        <v>166</v>
      </c>
    </row>
    <row r="22" spans="1:32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61">
        <v>4697000000</v>
      </c>
      <c r="AE22" s="70">
        <f>(-1*W98)/AE101</f>
        <v>4.244513891068437E-3</v>
      </c>
      <c r="AF22" s="71">
        <f>W107/AE101</f>
        <v>2.0843950845340773E-2</v>
      </c>
    </row>
    <row r="23" spans="1:32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32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91</v>
      </c>
    </row>
    <row r="25" spans="1:32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32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32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32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  <c r="X28" s="65">
        <v>3977000001</v>
      </c>
      <c r="Y28" s="65">
        <v>4372000002</v>
      </c>
      <c r="Z28" s="65">
        <v>4811000003</v>
      </c>
      <c r="AA28" s="65">
        <v>4746000004</v>
      </c>
      <c r="AB28" s="65">
        <v>5141000005</v>
      </c>
    </row>
    <row r="29" spans="1:32" ht="20" customHeight="1" thickTop="1" x14ac:dyDescent="0.25">
      <c r="A29" s="14" t="s">
        <v>101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10">(F28/E28)-1</f>
        <v>0.17279925477410329</v>
      </c>
      <c r="G29" s="15">
        <f t="shared" si="10"/>
        <v>8.3399523431294753E-2</v>
      </c>
      <c r="H29" s="15">
        <f t="shared" si="10"/>
        <v>7.6979472140762395E-2</v>
      </c>
      <c r="I29" s="15">
        <f t="shared" si="10"/>
        <v>5.1055139550715278E-3</v>
      </c>
      <c r="J29" s="15">
        <f t="shared" si="10"/>
        <v>3.3863867253636215E-4</v>
      </c>
      <c r="K29" s="15">
        <f t="shared" si="10"/>
        <v>0.46140825998645907</v>
      </c>
      <c r="L29" s="15">
        <f t="shared" si="10"/>
        <v>0.39772990502663896</v>
      </c>
      <c r="M29" s="15">
        <f t="shared" si="10"/>
        <v>0.22621809744779586</v>
      </c>
      <c r="N29" s="15">
        <f t="shared" si="10"/>
        <v>6.8117313150425796E-2</v>
      </c>
      <c r="O29" s="15">
        <f t="shared" si="10"/>
        <v>8.6675945843350588E-2</v>
      </c>
      <c r="P29" s="15">
        <f t="shared" si="10"/>
        <v>0.13251047973917096</v>
      </c>
      <c r="Q29" s="15">
        <f t="shared" si="10"/>
        <v>0.13129755295085332</v>
      </c>
      <c r="R29" s="15">
        <f t="shared" si="10"/>
        <v>0.11015177678814858</v>
      </c>
      <c r="S29" s="15">
        <f t="shared" si="10"/>
        <v>0.1498976668031109</v>
      </c>
      <c r="T29" s="15">
        <f t="shared" si="10"/>
        <v>8.7996582656984179E-2</v>
      </c>
      <c r="U29" s="15">
        <f t="shared" si="10"/>
        <v>-9.3443266588142948E-2</v>
      </c>
      <c r="V29" s="15">
        <f t="shared" si="10"/>
        <v>0.76483326115201389</v>
      </c>
      <c r="W29" s="15">
        <f t="shared" si="10"/>
        <v>0.37709611451942737</v>
      </c>
      <c r="X29" s="16">
        <f t="shared" ref="X29" si="11">(X28/W28)-1</f>
        <v>0.18117018146718156</v>
      </c>
      <c r="Y29" s="16">
        <f t="shared" ref="Y29" si="12">(Y28/X28)-1</f>
        <v>9.9321096530218478E-2</v>
      </c>
      <c r="Z29" s="16">
        <f t="shared" ref="Z29" si="13">(Z28/Y28)-1</f>
        <v>0.10041171107026003</v>
      </c>
      <c r="AA29" s="16">
        <f t="shared" ref="AA29" si="14">(AA28/Z28)-1</f>
        <v>-1.3510704418929098E-2</v>
      </c>
      <c r="AB29" s="16">
        <f t="shared" ref="AB29" si="15">(AB28/AA28)-1</f>
        <v>8.3227981598627876E-2</v>
      </c>
    </row>
    <row r="30" spans="1:32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  <c r="X30" s="66">
        <f>X28/X3</f>
        <v>0.29033435545335085</v>
      </c>
      <c r="Y30" s="66">
        <f t="shared" ref="Y30:AB30" si="16">Y28/Y3</f>
        <v>0.28865707130595536</v>
      </c>
      <c r="Z30" s="66">
        <f t="shared" si="16"/>
        <v>0.29244422849674789</v>
      </c>
      <c r="AA30" s="66">
        <f t="shared" si="16"/>
        <v>0.27660566522904767</v>
      </c>
      <c r="AB30" s="66">
        <f t="shared" si="16"/>
        <v>0.27114978929324896</v>
      </c>
    </row>
    <row r="31" spans="1:32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  <c r="X31" s="67">
        <v>38.04</v>
      </c>
      <c r="Y31" s="67">
        <v>41.83</v>
      </c>
      <c r="Z31" s="67">
        <v>46.02</v>
      </c>
      <c r="AA31" s="67">
        <v>45.4</v>
      </c>
      <c r="AB31" s="67">
        <v>49.18</v>
      </c>
    </row>
    <row r="32" spans="1:32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3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</row>
    <row r="34" spans="1:23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</row>
    <row r="35" spans="1:23" ht="20" customHeight="1" x14ac:dyDescent="0.25">
      <c r="A35" s="14" t="s">
        <v>102</v>
      </c>
      <c r="B35" s="1"/>
      <c r="C35" s="22">
        <f>(C34-B34)/B34</f>
        <v>1.1163911586726015E-3</v>
      </c>
      <c r="D35" s="22">
        <f t="shared" ref="D35:W35" si="17">(D34-C34)/C34</f>
        <v>9.1528504339676177E-5</v>
      </c>
      <c r="E35" s="22">
        <f t="shared" si="17"/>
        <v>-1.4227219842105692E-3</v>
      </c>
      <c r="F35" s="22">
        <f t="shared" si="17"/>
        <v>-1.3054133514481299E-2</v>
      </c>
      <c r="G35" s="22">
        <f t="shared" si="17"/>
        <v>-1.7797550613758154E-2</v>
      </c>
      <c r="H35" s="22">
        <f t="shared" si="17"/>
        <v>-8.254252820705979E-3</v>
      </c>
      <c r="I35" s="22">
        <f t="shared" si="17"/>
        <v>-1.0314223140718285E-2</v>
      </c>
      <c r="J35" s="22">
        <f t="shared" si="17"/>
        <v>3.5160699610068031E-4</v>
      </c>
      <c r="K35" s="22">
        <f t="shared" si="17"/>
        <v>2.0618427554839587E-3</v>
      </c>
      <c r="L35" s="22">
        <f t="shared" si="17"/>
        <v>-4.324063231952854E-3</v>
      </c>
      <c r="M35" s="22">
        <f t="shared" si="17"/>
        <v>-2.7435148947662609E-3</v>
      </c>
      <c r="N35" s="22">
        <f t="shared" si="17"/>
        <v>1.6552055064006648E-3</v>
      </c>
      <c r="O35" s="22">
        <f t="shared" si="17"/>
        <v>-3.2629980427924526E-4</v>
      </c>
      <c r="P35" s="22">
        <f t="shared" si="17"/>
        <v>2.5321364256077278E-3</v>
      </c>
      <c r="Q35" s="22">
        <f t="shared" si="17"/>
        <v>2.9100160352055893E-4</v>
      </c>
      <c r="R35" s="22">
        <f t="shared" si="17"/>
        <v>3.9432321826878892E-4</v>
      </c>
      <c r="S35" s="22">
        <f t="shared" si="17"/>
        <v>-2.6719366912385605E-3</v>
      </c>
      <c r="T35" s="22">
        <f t="shared" si="17"/>
        <v>1.6734773669561226E-3</v>
      </c>
      <c r="U35" s="22">
        <f t="shared" si="17"/>
        <v>-1.5879251287114597E-3</v>
      </c>
      <c r="V35" s="22">
        <f t="shared" si="17"/>
        <v>-0.23855023549719379</v>
      </c>
      <c r="W35" s="22">
        <f t="shared" si="17"/>
        <v>0</v>
      </c>
    </row>
    <row r="36" spans="1:23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</row>
    <row r="37" spans="1:23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</row>
    <row r="38" spans="1:23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3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91</v>
      </c>
      <c r="G39" s="1">
        <v>47900000</v>
      </c>
      <c r="H39" s="1" t="s">
        <v>91</v>
      </c>
      <c r="I39" s="1" t="s">
        <v>91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91</v>
      </c>
      <c r="S39" s="1" t="s">
        <v>91</v>
      </c>
      <c r="T39" s="1" t="s">
        <v>91</v>
      </c>
      <c r="U39" s="1" t="s">
        <v>91</v>
      </c>
      <c r="V39" s="1" t="s">
        <v>91</v>
      </c>
      <c r="W39" s="1" t="s">
        <v>91</v>
      </c>
    </row>
    <row r="40" spans="1:23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3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91</v>
      </c>
      <c r="V41" s="1" t="s">
        <v>91</v>
      </c>
      <c r="W41" s="1" t="s">
        <v>91</v>
      </c>
    </row>
    <row r="42" spans="1:23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3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3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3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3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91</v>
      </c>
    </row>
    <row r="47" spans="1:23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3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91</v>
      </c>
      <c r="G49" s="1">
        <v>26900000</v>
      </c>
      <c r="H49" s="1" t="s">
        <v>91</v>
      </c>
      <c r="I49" s="1" t="s">
        <v>91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</row>
    <row r="50" spans="1:23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91</v>
      </c>
      <c r="D56" s="1" t="s">
        <v>91</v>
      </c>
      <c r="E56" s="1" t="s">
        <v>91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</row>
    <row r="63" spans="1:23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91</v>
      </c>
      <c r="W70" s="1" t="s">
        <v>91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91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</row>
    <row r="75" spans="1:23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</row>
    <row r="79" spans="1:23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103</v>
      </c>
      <c r="B80" s="15" t="e">
        <f t="shared" ref="B80:W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2.2101326079564773E-3</v>
      </c>
      <c r="J80" s="15">
        <f t="shared" si="18"/>
        <v>2.5596823904299221E-3</v>
      </c>
      <c r="K80" s="15">
        <f t="shared" si="18"/>
        <v>3.7904031989336889E-3</v>
      </c>
      <c r="L80" s="15">
        <f t="shared" si="18"/>
        <v>4.1179783190201319E-3</v>
      </c>
      <c r="M80" s="15">
        <f t="shared" si="18"/>
        <v>8.151315978301427E-3</v>
      </c>
      <c r="N80" s="15">
        <f t="shared" si="18"/>
        <v>1.1318845211462661E-2</v>
      </c>
      <c r="O80" s="15">
        <f t="shared" si="18"/>
        <v>9.3478366435196421E-3</v>
      </c>
      <c r="P80" s="15">
        <f t="shared" si="18"/>
        <v>7.5191076223920681E-3</v>
      </c>
      <c r="Q80" s="15">
        <f t="shared" si="18"/>
        <v>1.0341778478336089E-2</v>
      </c>
      <c r="R80" s="15">
        <f t="shared" si="18"/>
        <v>1.1172983006253266E-2</v>
      </c>
      <c r="S80" s="15">
        <f t="shared" si="18"/>
        <v>8.6153433566316349E-3</v>
      </c>
      <c r="T80" s="15">
        <f t="shared" si="18"/>
        <v>1.2740796699305576E-2</v>
      </c>
      <c r="U80" s="15">
        <f t="shared" si="18"/>
        <v>1.2364228253044104E-2</v>
      </c>
      <c r="V80" s="15">
        <f t="shared" si="18"/>
        <v>6.5686929414384325E-3</v>
      </c>
      <c r="W80" s="15">
        <f t="shared" si="18"/>
        <v>4.7405619720737808E-3</v>
      </c>
    </row>
    <row r="81" spans="1:31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1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</row>
    <row r="83" spans="1:31" ht="21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91</v>
      </c>
      <c r="K83" s="1" t="s">
        <v>91</v>
      </c>
      <c r="L83" s="1" t="s">
        <v>91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91</v>
      </c>
      <c r="AD83" s="74" t="s">
        <v>124</v>
      </c>
      <c r="AE83" s="75"/>
    </row>
    <row r="84" spans="1:31" ht="19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AD84" s="76" t="s">
        <v>125</v>
      </c>
      <c r="AE84" s="77"/>
    </row>
    <row r="85" spans="1:31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 t="s">
        <v>91</v>
      </c>
      <c r="AD85" s="23" t="s">
        <v>126</v>
      </c>
      <c r="AE85" s="24">
        <f>W17</f>
        <v>-62000000</v>
      </c>
    </row>
    <row r="86" spans="1:31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91</v>
      </c>
      <c r="AD86" s="23" t="s">
        <v>127</v>
      </c>
      <c r="AE86" s="24">
        <f>W56</f>
        <v>270000000</v>
      </c>
    </row>
    <row r="87" spans="1:31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AD87" s="23" t="s">
        <v>128</v>
      </c>
      <c r="AE87" s="24">
        <f>W61</f>
        <v>1664000000</v>
      </c>
    </row>
    <row r="88" spans="1:31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AD88" s="33" t="s">
        <v>129</v>
      </c>
      <c r="AE88" s="34">
        <f>AE85/(AE86+AE87)</f>
        <v>-3.2057911065149949E-2</v>
      </c>
    </row>
    <row r="89" spans="1:31" ht="20" customHeight="1" x14ac:dyDescent="0.25">
      <c r="A89" s="14" t="s">
        <v>104</v>
      </c>
      <c r="B89" s="15">
        <f t="shared" ref="B89:W89" si="19">(-1*B88)/B3</f>
        <v>0.10220881897465156</v>
      </c>
      <c r="C89" s="15">
        <f t="shared" si="19"/>
        <v>8.1783788134911051E-2</v>
      </c>
      <c r="D89" s="15">
        <f t="shared" si="19"/>
        <v>7.4552845528455286E-2</v>
      </c>
      <c r="E89" s="15">
        <f t="shared" si="19"/>
        <v>7.5548212676479418E-2</v>
      </c>
      <c r="F89" s="15">
        <f t="shared" si="19"/>
        <v>7.1108308813226842E-2</v>
      </c>
      <c r="G89" s="15">
        <f t="shared" si="19"/>
        <v>8.1325500033005482E-2</v>
      </c>
      <c r="H89" s="15">
        <f t="shared" si="19"/>
        <v>7.3780075072303247E-2</v>
      </c>
      <c r="I89" s="15">
        <f t="shared" si="19"/>
        <v>9.1012127394310319E-2</v>
      </c>
      <c r="J89" s="15">
        <f t="shared" si="19"/>
        <v>0.10416340176565847</v>
      </c>
      <c r="K89" s="15">
        <f t="shared" si="19"/>
        <v>5.76057980673109E-2</v>
      </c>
      <c r="L89" s="15">
        <f t="shared" si="19"/>
        <v>6.5183725186540892E-2</v>
      </c>
      <c r="M89" s="15">
        <f t="shared" si="19"/>
        <v>7.5485778249763213E-2</v>
      </c>
      <c r="N89" s="15">
        <f t="shared" si="19"/>
        <v>5.6248002556727392E-2</v>
      </c>
      <c r="O89" s="15">
        <f t="shared" si="19"/>
        <v>6.7717185451366971E-2</v>
      </c>
      <c r="P89" s="15">
        <f t="shared" si="19"/>
        <v>5.2137988019004336E-2</v>
      </c>
      <c r="Q89" s="15">
        <f t="shared" si="19"/>
        <v>5.0382530467878973E-2</v>
      </c>
      <c r="R89" s="15">
        <f t="shared" si="19"/>
        <v>4.7809554702564379E-2</v>
      </c>
      <c r="S89" s="15">
        <f t="shared" si="19"/>
        <v>5.2345753507316337E-2</v>
      </c>
      <c r="T89" s="15">
        <f t="shared" si="19"/>
        <v>6.9442426707731639E-2</v>
      </c>
      <c r="U89" s="15">
        <f t="shared" si="19"/>
        <v>0</v>
      </c>
      <c r="V89" s="15">
        <f t="shared" si="19"/>
        <v>0</v>
      </c>
      <c r="W89" s="15">
        <f t="shared" si="19"/>
        <v>0</v>
      </c>
      <c r="AD89" s="23" t="s">
        <v>105</v>
      </c>
      <c r="AE89" s="24">
        <f>W27</f>
        <v>1305000000</v>
      </c>
    </row>
    <row r="90" spans="1:31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>
        <v>-1000000</v>
      </c>
      <c r="AD90" s="23" t="s">
        <v>19</v>
      </c>
      <c r="AE90" s="24">
        <f>W25</f>
        <v>4635000000</v>
      </c>
    </row>
    <row r="91" spans="1:31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-24300000</v>
      </c>
      <c r="G91" s="1" t="s">
        <v>91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AD91" s="33" t="s">
        <v>130</v>
      </c>
      <c r="AE91" s="34">
        <f>AE89/AE90</f>
        <v>0.28155339805825241</v>
      </c>
    </row>
    <row r="92" spans="1:31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15600000</v>
      </c>
      <c r="H92" s="1">
        <v>15000000</v>
      </c>
      <c r="I92" s="1">
        <v>1100000</v>
      </c>
      <c r="J92" s="1" t="s">
        <v>91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AD92" s="35" t="s">
        <v>131</v>
      </c>
      <c r="AE92" s="36">
        <f>AE88*(1-AE91)</f>
        <v>-2.303189727010773E-2</v>
      </c>
    </row>
    <row r="93" spans="1:31" ht="19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AD93" s="76" t="s">
        <v>132</v>
      </c>
      <c r="AE93" s="77"/>
    </row>
    <row r="94" spans="1:31" ht="20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AD94" s="23" t="s">
        <v>133</v>
      </c>
      <c r="AE94" s="37">
        <f>[1]Treasuries!$C$8</f>
        <v>3.739E-2</v>
      </c>
    </row>
    <row r="95" spans="1:31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91</v>
      </c>
      <c r="AD95" s="23" t="s">
        <v>134</v>
      </c>
      <c r="AE95" s="38" cm="1">
        <f t="array" ref="AE95">_FV(A1,"Beta")</f>
        <v>0.73140000000000005</v>
      </c>
    </row>
    <row r="96" spans="1:31" ht="20" x14ac:dyDescent="0.25">
      <c r="A96" s="5" t="s">
        <v>81</v>
      </c>
      <c r="B96" s="1" t="s">
        <v>91</v>
      </c>
      <c r="C96" s="1" t="s">
        <v>91</v>
      </c>
      <c r="D96" s="1">
        <v>6300000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>
        <v>100000</v>
      </c>
      <c r="N96" s="1">
        <v>3100000</v>
      </c>
      <c r="O96" s="1" t="s">
        <v>91</v>
      </c>
      <c r="P96" s="1">
        <v>300000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AD96" s="23" t="s">
        <v>135</v>
      </c>
      <c r="AE96" s="37">
        <v>8.4000000000000005E-2</v>
      </c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91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91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91</v>
      </c>
      <c r="U97" s="1">
        <v>-122100000</v>
      </c>
      <c r="V97" s="1">
        <v>-158000000</v>
      </c>
      <c r="W97" s="1">
        <v>-123000000</v>
      </c>
      <c r="AD97" s="35" t="s">
        <v>136</v>
      </c>
      <c r="AE97" s="36">
        <f>(AE94)+((AE95)*(AE96-AE94))</f>
        <v>7.1480554000000002E-2</v>
      </c>
    </row>
    <row r="98" spans="1:31" ht="19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AD98" s="76" t="s">
        <v>137</v>
      </c>
      <c r="AE98" s="77"/>
    </row>
    <row r="99" spans="1:31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91</v>
      </c>
      <c r="O99" s="1" t="s">
        <v>91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AD99" s="23" t="s">
        <v>138</v>
      </c>
      <c r="AE99" s="24">
        <f>AE86+AE87</f>
        <v>1934000000</v>
      </c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AD100" s="33" t="s">
        <v>139</v>
      </c>
      <c r="AE100" s="34">
        <f>AE99/AE103</f>
        <v>9.5429028484134062E-3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AD101" s="23" t="s">
        <v>140</v>
      </c>
      <c r="AE101" s="39" cm="1">
        <f t="array" ref="AE101">_FV(A1,"Market cap",TRUE)</f>
        <v>200729700000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AD102" s="33" t="s">
        <v>141</v>
      </c>
      <c r="AE102" s="34">
        <f>AE101/AE103</f>
        <v>0.99045709715158659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AD103" s="35" t="s">
        <v>142</v>
      </c>
      <c r="AE103" s="40">
        <f>AE99+AE101</f>
        <v>202663700000</v>
      </c>
    </row>
    <row r="104" spans="1:31" ht="20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AD104" s="76" t="s">
        <v>143</v>
      </c>
      <c r="AE104" s="77"/>
    </row>
    <row r="105" spans="1:31" ht="21" thickTop="1" x14ac:dyDescent="0.25">
      <c r="A105" s="14" t="s">
        <v>157</v>
      </c>
      <c r="B105" s="1">
        <f t="shared" ref="B105:V105" si="20">((B22*(1-$AE$91))+B77+B88+B81)</f>
        <v>119934951.45631069</v>
      </c>
      <c r="C105" s="1">
        <f t="shared" si="20"/>
        <v>154146601.94174755</v>
      </c>
      <c r="D105" s="1">
        <f t="shared" si="20"/>
        <v>177899029.12621361</v>
      </c>
      <c r="E105" s="1">
        <f t="shared" si="20"/>
        <v>195100970.87378645</v>
      </c>
      <c r="F105" s="1">
        <f t="shared" si="20"/>
        <v>194124271.84466022</v>
      </c>
      <c r="G105" s="1">
        <f t="shared" si="20"/>
        <v>194599029.12621361</v>
      </c>
      <c r="H105" s="1">
        <f t="shared" si="20"/>
        <v>219405825.24271846</v>
      </c>
      <c r="I105" s="1">
        <f t="shared" si="20"/>
        <v>156054368.93203884</v>
      </c>
      <c r="J105" s="1">
        <f t="shared" si="20"/>
        <v>274068932.03883493</v>
      </c>
      <c r="K105" s="1">
        <f t="shared" si="20"/>
        <v>498366019.4174757</v>
      </c>
      <c r="L105" s="1">
        <f t="shared" si="20"/>
        <v>564568932.03883493</v>
      </c>
      <c r="M105" s="1">
        <f t="shared" si="20"/>
        <v>487381553.3980583</v>
      </c>
      <c r="N105" s="1">
        <f t="shared" si="20"/>
        <v>727438834.95145631</v>
      </c>
      <c r="O105" s="1">
        <f t="shared" si="20"/>
        <v>711731067.96116495</v>
      </c>
      <c r="P105" s="1">
        <f t="shared" si="20"/>
        <v>1066046601.9417477</v>
      </c>
      <c r="Q105" s="1">
        <f t="shared" si="20"/>
        <v>1271261165.0485437</v>
      </c>
      <c r="R105" s="1">
        <f t="shared" si="20"/>
        <v>1460229126.2135923</v>
      </c>
      <c r="S105" s="1">
        <f t="shared" si="20"/>
        <v>1550488349.5145631</v>
      </c>
      <c r="T105" s="1">
        <f t="shared" si="20"/>
        <v>1735306796.1165047</v>
      </c>
      <c r="U105" s="1">
        <f t="shared" si="20"/>
        <v>1626441747.5728157</v>
      </c>
      <c r="V105" s="1">
        <f t="shared" si="20"/>
        <v>3445116504.8543692</v>
      </c>
      <c r="W105" s="1">
        <f>((W22*(1-$AE$91))+W77+W88+W81)</f>
        <v>4054543689.3203883</v>
      </c>
      <c r="X105" s="41">
        <f>W105*(1+$AE$106)</f>
        <v>4476644992.0291462</v>
      </c>
      <c r="Y105" s="41">
        <f t="shared" ref="Y105:AB105" si="21">X105*(1+$AE$106)</f>
        <v>4942689466.4979534</v>
      </c>
      <c r="Z105" s="41">
        <f t="shared" si="21"/>
        <v>5457251849.4829893</v>
      </c>
      <c r="AA105" s="41">
        <f t="shared" si="21"/>
        <v>6025383134.131362</v>
      </c>
      <c r="AB105" s="41">
        <f t="shared" si="21"/>
        <v>6652660151.0088215</v>
      </c>
      <c r="AC105" s="42" t="s">
        <v>160</v>
      </c>
      <c r="AD105" s="25" t="s">
        <v>106</v>
      </c>
      <c r="AE105" s="26">
        <f>(AE100*AE92)+(AE102*AE97)</f>
        <v>7.0578630859563951E-2</v>
      </c>
    </row>
    <row r="106" spans="1:31" ht="19" x14ac:dyDescent="0.25">
      <c r="A106" s="14" t="s">
        <v>158</v>
      </c>
      <c r="B106" s="1"/>
      <c r="C106" s="15">
        <f t="shared" ref="C106:W106" si="22">(C107/B107)-1</f>
        <v>0.58752735229759301</v>
      </c>
      <c r="D106" s="15">
        <f t="shared" si="22"/>
        <v>2.7567195037905279E-3</v>
      </c>
      <c r="E106" s="15">
        <f t="shared" si="22"/>
        <v>0.22268041237113412</v>
      </c>
      <c r="F106" s="15">
        <f t="shared" si="22"/>
        <v>0.14446318156267557</v>
      </c>
      <c r="G106" s="15">
        <f t="shared" si="22"/>
        <v>-0.16453831041257372</v>
      </c>
      <c r="H106" s="15">
        <f t="shared" si="22"/>
        <v>0.20458553791887124</v>
      </c>
      <c r="I106" s="15">
        <f t="shared" si="22"/>
        <v>-0.30697901415324547</v>
      </c>
      <c r="J106" s="15">
        <f t="shared" si="22"/>
        <v>0.81760563380281681</v>
      </c>
      <c r="K106" s="15">
        <f t="shared" si="22"/>
        <v>1.0360325455249901</v>
      </c>
      <c r="L106" s="15">
        <f t="shared" si="22"/>
        <v>4.7954329210275981E-2</v>
      </c>
      <c r="M106" s="15">
        <f t="shared" si="22"/>
        <v>-7.71745051752315E-2</v>
      </c>
      <c r="N106" s="15">
        <f t="shared" si="22"/>
        <v>0.34927194018103114</v>
      </c>
      <c r="O106" s="15">
        <f t="shared" si="22"/>
        <v>3.2084001750036784E-3</v>
      </c>
      <c r="P106" s="15">
        <f t="shared" si="22"/>
        <v>0.35673789795028354</v>
      </c>
      <c r="Q106" s="15">
        <f t="shared" si="22"/>
        <v>0.29840351441122892</v>
      </c>
      <c r="R106" s="15">
        <f t="shared" si="22"/>
        <v>0.10604060075920119</v>
      </c>
      <c r="S106" s="15">
        <f t="shared" si="22"/>
        <v>7.9683652913526748E-2</v>
      </c>
      <c r="T106" s="15">
        <f t="shared" si="22"/>
        <v>0.11208624144841406</v>
      </c>
      <c r="U106" s="15">
        <f t="shared" si="22"/>
        <v>-0.25806251165102845</v>
      </c>
      <c r="V106" s="15">
        <f t="shared" si="22"/>
        <v>1.8517587939698492</v>
      </c>
      <c r="W106" s="15">
        <f t="shared" si="22"/>
        <v>0.22878120411160063</v>
      </c>
      <c r="X106" s="59">
        <v>3824000000</v>
      </c>
      <c r="Y106" s="59">
        <v>4449000000</v>
      </c>
      <c r="Z106" s="59">
        <v>4970000000</v>
      </c>
      <c r="AA106" s="59">
        <v>4708000000</v>
      </c>
      <c r="AB106" s="59">
        <v>5062000000</v>
      </c>
      <c r="AC106" s="42" t="s">
        <v>161</v>
      </c>
      <c r="AD106" s="43" t="s">
        <v>144</v>
      </c>
      <c r="AE106" s="44">
        <f>(SUM(X4:AB4)/5)</f>
        <v>0.10410574778625929</v>
      </c>
    </row>
    <row r="107" spans="1:31" ht="19" x14ac:dyDescent="0.25">
      <c r="A107" s="58" t="s">
        <v>159</v>
      </c>
      <c r="B107" s="1">
        <v>91400000</v>
      </c>
      <c r="C107" s="1">
        <v>145100000</v>
      </c>
      <c r="D107" s="1">
        <v>145500000</v>
      </c>
      <c r="E107" s="1">
        <v>177900000</v>
      </c>
      <c r="F107" s="1">
        <v>203600000</v>
      </c>
      <c r="G107" s="1">
        <v>170100000</v>
      </c>
      <c r="H107" s="1">
        <v>204900000</v>
      </c>
      <c r="I107" s="1">
        <v>142000000</v>
      </c>
      <c r="J107" s="1">
        <v>258100000</v>
      </c>
      <c r="K107" s="1">
        <v>525500000</v>
      </c>
      <c r="L107" s="1">
        <v>550700000</v>
      </c>
      <c r="M107" s="1">
        <v>508200000</v>
      </c>
      <c r="N107" s="1">
        <v>685700000</v>
      </c>
      <c r="O107" s="1">
        <v>687900000</v>
      </c>
      <c r="P107" s="1">
        <v>933300000</v>
      </c>
      <c r="Q107" s="1">
        <v>1211800000</v>
      </c>
      <c r="R107" s="1">
        <v>1340300000</v>
      </c>
      <c r="S107" s="1">
        <v>1447100000</v>
      </c>
      <c r="T107" s="1">
        <v>1609300000</v>
      </c>
      <c r="U107" s="1">
        <v>1194000000</v>
      </c>
      <c r="V107" s="1">
        <v>3405000000</v>
      </c>
      <c r="W107" s="1">
        <v>4184000000</v>
      </c>
      <c r="X107" s="42"/>
      <c r="Y107" s="42"/>
      <c r="Z107" s="42"/>
      <c r="AA107" s="42"/>
      <c r="AB107" s="60">
        <f>AB106*(1+AE107)/(AE108-AE107)</f>
        <v>113837337852.18047</v>
      </c>
      <c r="AC107" s="45" t="s">
        <v>145</v>
      </c>
      <c r="AD107" s="46" t="s">
        <v>146</v>
      </c>
      <c r="AE107" s="47">
        <v>2.5000000000000001E-2</v>
      </c>
    </row>
    <row r="108" spans="1:31" ht="19" x14ac:dyDescent="0.25">
      <c r="X108" s="60">
        <f t="shared" ref="X108:AA108" si="23">X107+X106</f>
        <v>3824000000</v>
      </c>
      <c r="Y108" s="60">
        <f t="shared" si="23"/>
        <v>4449000000</v>
      </c>
      <c r="Z108" s="60">
        <f t="shared" si="23"/>
        <v>4970000000</v>
      </c>
      <c r="AA108" s="60">
        <f t="shared" si="23"/>
        <v>4708000000</v>
      </c>
      <c r="AB108" s="60">
        <f>AB107+AB106</f>
        <v>118899337852.18047</v>
      </c>
      <c r="AC108" s="45" t="s">
        <v>142</v>
      </c>
      <c r="AD108" s="48" t="s">
        <v>147</v>
      </c>
      <c r="AE108" s="49">
        <f>AE105</f>
        <v>7.0578630859563951E-2</v>
      </c>
    </row>
    <row r="109" spans="1:31" ht="19" x14ac:dyDescent="0.25">
      <c r="X109" s="72" t="s">
        <v>148</v>
      </c>
      <c r="Y109" s="73"/>
    </row>
    <row r="110" spans="1:31" ht="20" x14ac:dyDescent="0.25">
      <c r="X110" s="50" t="s">
        <v>149</v>
      </c>
      <c r="Y110" s="39">
        <f>NPV(AE108,X108,Y108,Z108,AA108,AB108)</f>
        <v>99632745537.773209</v>
      </c>
    </row>
    <row r="111" spans="1:31" ht="20" x14ac:dyDescent="0.25">
      <c r="X111" s="50" t="s">
        <v>150</v>
      </c>
      <c r="Y111" s="39">
        <f>W40</f>
        <v>9225000000</v>
      </c>
    </row>
    <row r="112" spans="1:31" ht="20" x14ac:dyDescent="0.25">
      <c r="X112" s="50" t="s">
        <v>138</v>
      </c>
      <c r="Y112" s="39">
        <f>AE99</f>
        <v>1934000000</v>
      </c>
    </row>
    <row r="113" spans="24:25" ht="20" x14ac:dyDescent="0.25">
      <c r="X113" s="50" t="s">
        <v>151</v>
      </c>
      <c r="Y113" s="39">
        <f>Y110+Y111-Y112</f>
        <v>106923745537.77321</v>
      </c>
    </row>
    <row r="114" spans="24:25" ht="20" x14ac:dyDescent="0.25">
      <c r="X114" s="50" t="s">
        <v>152</v>
      </c>
      <c r="Y114" s="51">
        <f>W34*(1+(AC16*5))</f>
        <v>60608393.517080538</v>
      </c>
    </row>
    <row r="115" spans="24:25" ht="20" x14ac:dyDescent="0.25">
      <c r="X115" s="52" t="s">
        <v>153</v>
      </c>
      <c r="Y115" s="53">
        <f>Y113/Y114</f>
        <v>1764.173892971444</v>
      </c>
    </row>
    <row r="116" spans="24:25" ht="20" x14ac:dyDescent="0.25">
      <c r="X116" s="50" t="s">
        <v>154</v>
      </c>
      <c r="Y116" s="54" cm="1">
        <f t="array" ref="Y116">_FV(A1,"Price")</f>
        <v>1914.6</v>
      </c>
    </row>
    <row r="117" spans="24:25" ht="20" x14ac:dyDescent="0.25">
      <c r="X117" s="55" t="s">
        <v>155</v>
      </c>
      <c r="Y117" s="56">
        <f>Y115/Y116-1</f>
        <v>-7.8567902971145909E-2</v>
      </c>
    </row>
    <row r="118" spans="24:25" ht="20" x14ac:dyDescent="0.25">
      <c r="X118" s="55" t="s">
        <v>156</v>
      </c>
      <c r="Y118" s="57" t="str">
        <f>IF(Y115&gt;Y116,"BUY","SELL")</f>
        <v>SELL</v>
      </c>
    </row>
  </sheetData>
  <mergeCells count="6">
    <mergeCell ref="X109:Y109"/>
    <mergeCell ref="AD83:AE83"/>
    <mergeCell ref="AD84:AE84"/>
    <mergeCell ref="AD93:AE93"/>
    <mergeCell ref="AD98:AE98"/>
    <mergeCell ref="AD104:AE10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ENXTPA:RMS/explorer/revenue_proj" xr:uid="{3AAAE857-2DF6-7E43-BC47-F98C8D288B34}"/>
    <hyperlink ref="AC106" r:id="rId47" xr:uid="{F2A414B3-380E-3F4D-8F11-0F084479A878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2023-03-26T07:11:29Z</dcterms:created>
  <dcterms:modified xsi:type="dcterms:W3CDTF">2023-06-26T11:23:31Z</dcterms:modified>
</cp:coreProperties>
</file>