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8930260-8D5E-EA40-934C-26BB5DFA7DC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2" i="1" l="1"/>
  <c r="AE22" i="1"/>
  <c r="X108" i="1" l="1"/>
  <c r="Y108" i="1"/>
  <c r="Z108" i="1"/>
  <c r="AA108" i="1"/>
  <c r="Y105" i="1"/>
  <c r="Z105" i="1" s="1"/>
  <c r="AA105" i="1" s="1"/>
  <c r="AB105" i="1" s="1"/>
  <c r="X105" i="1"/>
  <c r="B105" i="1"/>
  <c r="C105" i="1"/>
  <c r="D105" i="1"/>
  <c r="E105" i="1"/>
  <c r="F105" i="1"/>
  <c r="G105" i="1"/>
  <c r="H105" i="1"/>
  <c r="I105" i="1"/>
  <c r="J105" i="1"/>
  <c r="K105" i="1"/>
  <c r="L105" i="1"/>
  <c r="M105" i="1"/>
  <c r="N105" i="1"/>
  <c r="O105" i="1"/>
  <c r="P105" i="1"/>
  <c r="Q105" i="1"/>
  <c r="R105" i="1"/>
  <c r="S105" i="1"/>
  <c r="T105" i="1"/>
  <c r="U105" i="1"/>
  <c r="V105" i="1"/>
  <c r="W105" i="1"/>
  <c r="Y30" i="1"/>
  <c r="Z30" i="1"/>
  <c r="AA30" i="1"/>
  <c r="AB30" i="1"/>
  <c r="X30" i="1"/>
  <c r="X29" i="1"/>
  <c r="Y29" i="1"/>
  <c r="Z29" i="1"/>
  <c r="AA29" i="1"/>
  <c r="AB29" i="1"/>
  <c r="Y21" i="1"/>
  <c r="Z21" i="1"/>
  <c r="AA21" i="1"/>
  <c r="AB21" i="1"/>
  <c r="X21" i="1"/>
  <c r="X20" i="1"/>
  <c r="Y20" i="1"/>
  <c r="Z20" i="1"/>
  <c r="AA20" i="1"/>
  <c r="AB20" i="1"/>
  <c r="W80" i="1"/>
  <c r="W89" i="1"/>
  <c r="W106" i="1"/>
  <c r="Y116" i="1" a="1"/>
  <c r="Y116" i="1" s="1"/>
  <c r="AE101" i="1" a="1"/>
  <c r="AE101" i="1" s="1"/>
  <c r="AE19" i="1" s="1"/>
  <c r="AE95" i="1" a="1"/>
  <c r="AE95" i="1" s="1"/>
  <c r="Y114" i="1"/>
  <c r="AC19" i="1"/>
  <c r="AC16" i="1"/>
  <c r="AF13" i="1"/>
  <c r="AE13" i="1"/>
  <c r="AD13" i="1"/>
  <c r="AC13" i="1"/>
  <c r="AF10" i="1"/>
  <c r="AE10" i="1"/>
  <c r="AD10" i="1"/>
  <c r="AC10" i="1"/>
  <c r="AF7" i="1"/>
  <c r="AE7" i="1"/>
  <c r="AD7" i="1"/>
  <c r="AC7" i="1"/>
  <c r="AE4" i="1"/>
  <c r="AD4" i="1"/>
  <c r="AC4" i="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D19" i="1" l="1"/>
  <c r="AE106" i="1"/>
  <c r="AD16" i="1"/>
  <c r="AF16" i="1"/>
  <c r="AE16" i="1"/>
  <c r="AE88" i="1"/>
  <c r="AE92" i="1" s="1"/>
  <c r="AE103" i="1"/>
  <c r="AE102" i="1" s="1"/>
  <c r="AF19" i="1" l="1"/>
  <c r="AE100" i="1"/>
  <c r="AE94" i="1" l="1"/>
  <c r="AE97" i="1" s="1"/>
  <c r="AE105" i="1" s="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<sst xmlns="http://schemas.openxmlformats.org/spreadsheetml/2006/main" count="598" uniqueCount="166">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</sst>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10" fontId="1" fillId="0" borderId="0" xfId="0" applyNumberFormat="1" applyFont="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5" xfId="0" applyNumberFormat="1" applyFont="1" applyBorder="1"/>
    <xf numFmtId="168" fontId="11" fillId="0" borderId="7" xfId="0" applyNumberFormat="1" applyFont="1" applyBorder="1" applyAlignment="1">
      <alignment horizontal="center"/>
    </xf>
    <xf numFmtId="168" fontId="11" fillId="0" borderId="14" xfId="0" applyNumberFormat="1" applyFont="1" applyBorder="1" applyAlignment="1">
      <alignment horizontal="center"/>
    </xf>
    <xf numFmtId="164" fontId="9" fillId="6" borderId="0" xfId="0" applyNumberFormat="1" applyFont="1" applyFill="1"/>
    <xf numFmtId="164" fontId="1" fillId="6" borderId="0" xfId="0" applyNumberFormat="1" applyFont="1" applyFill="1"/>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171" fontId="11" fillId="0" borderId="14" xfId="0" applyNumberFormat="1" applyFont="1" applyBorder="1" applyAlignment="1">
      <alignment horizontal="center"/>
    </xf>
    <xf numFmtId="171"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537.29999999999995</v>
    <v>1.0128999999999999</v>
    <v>6.6</v>
    <v>7.9509999999999997E-3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837.1</v>
    <v>Textiles &amp; Apparel</v>
    <v>Stock</v>
    <v>45103.463792071096</v>
    <v>0</v>
    <v>826.9</v>
    <v>416750400000</v>
    <v>LVMH Moet Hennessy Louis Vuitton SE</v>
    <v>LVMH Moet Hennessy Louis Vuitton SE</v>
    <v>837.1</v>
    <v>29.592199999999998</v>
    <v>830.1</v>
    <v>836.7</v>
    <v>502048400</v>
    <v>MC</v>
    <v>LVMH Moet Hennessy Louis Vuitton SE (XPAR:MC)</v>
    <v>61836</v>
    <v>346720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NASDAQGS:MBLY/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79" activePane="bottomRight" state="frozen"/>
      <selection pane="topRight"/>
      <selection pane="bottomLeft"/>
      <selection pane="bottomRight" activeCell="AB97" sqref="AB97"/>
    </sheetView>
  </sheetViews>
  <sheetFormatPr baseColWidth="10" defaultRowHeight="16" x14ac:dyDescent="0.2"/>
  <cols>
    <col min="1" max="1" width="50" customWidth="1"/>
    <col min="2" max="23" width="15" customWidth="1"/>
    <col min="24" max="28" width="19"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88158000000</v>
      </c>
      <c r="Y3" s="15">
        <v>95168000000</v>
      </c>
      <c r="Z3" s="15">
        <v>101800000000</v>
      </c>
      <c r="AA3" s="15">
        <v>110300000000</v>
      </c>
      <c r="AB3" s="15">
        <v>117600000000</v>
      </c>
      <c r="AC3" s="43" t="s">
        <v>107</v>
      </c>
      <c r="AD3" s="44" t="s">
        <v>108</v>
      </c>
      <c r="AE3" s="44" t="s">
        <v>109</v>
      </c>
      <c r="AF3" s="44" t="s">
        <v>110</v>
      </c>
    </row>
    <row r="4" spans="1:32" ht="19" x14ac:dyDescent="0.25">
      <c r="A4" s="17" t="s">
        <v>93</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0.11333097595473829</v>
      </c>
      <c r="Y4" s="16">
        <f t="shared" si="0"/>
        <v>7.9516322965584418E-2</v>
      </c>
      <c r="Z4" s="16">
        <f t="shared" si="0"/>
        <v>6.9687289845326239E-2</v>
      </c>
      <c r="AA4" s="16">
        <f t="shared" ref="AA4" si="1">(AA3/Z3)-1</f>
        <v>8.349705304518662E-2</v>
      </c>
      <c r="AB4" s="16">
        <f t="shared" ref="AB4" si="2">(AB3/AA3)-1</f>
        <v>6.618313689936528E-2</v>
      </c>
      <c r="AC4" s="45">
        <f>(W4+V4+U4)/3</f>
        <v>0.16774310808440043</v>
      </c>
      <c r="AD4" s="45">
        <f>(W20+V20+U20)/3</f>
        <v>0.22931209935446953</v>
      </c>
      <c r="AE4" s="45">
        <f>(W29+V29+U29)/3</f>
        <v>0.46187151904379231</v>
      </c>
      <c r="AF4" s="4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43" t="s">
        <v>111</v>
      </c>
      <c r="AD6" s="44" t="s">
        <v>112</v>
      </c>
      <c r="AE6" s="44" t="s">
        <v>113</v>
      </c>
      <c r="AF6" s="4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45">
        <f>W7</f>
        <v>0.68440000000000001</v>
      </c>
      <c r="AD7" s="46">
        <f>W21</f>
        <v>0.32900000000000001</v>
      </c>
      <c r="AE7" s="46">
        <f>W30</f>
        <v>0.1779</v>
      </c>
      <c r="AF7" s="46">
        <f>W107/W3</f>
        <v>0.16105526368963427</v>
      </c>
    </row>
    <row r="8" spans="1:32" ht="19" x14ac:dyDescent="0.25">
      <c r="A8" s="5" t="s">
        <v>5</v>
      </c>
      <c r="B8" s="23">
        <v>0</v>
      </c>
      <c r="C8" s="23">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43" t="s">
        <v>95</v>
      </c>
      <c r="AD9" s="44" t="s">
        <v>96</v>
      </c>
      <c r="AE9" s="44" t="s">
        <v>97</v>
      </c>
      <c r="AF9" s="4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45">
        <f>W9</f>
        <v>0</v>
      </c>
      <c r="AD10" s="46">
        <f>W13</f>
        <v>0.41899878763386544</v>
      </c>
      <c r="AE10" s="46">
        <f>W80</f>
        <v>0</v>
      </c>
      <c r="AF10" s="4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43" t="s">
        <v>115</v>
      </c>
      <c r="AD12" s="44" t="s">
        <v>116</v>
      </c>
      <c r="AE12" s="44" t="s">
        <v>117</v>
      </c>
      <c r="AF12" s="4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45">
        <f>W28/W72</f>
        <v>0.25555696684872348</v>
      </c>
      <c r="AD13" s="46">
        <f>W28/W54</f>
        <v>0.10460021092345854</v>
      </c>
      <c r="AE13" s="4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43" t="s">
        <v>152</v>
      </c>
      <c r="AD15" s="44" t="s">
        <v>153</v>
      </c>
      <c r="AE15" s="44" t="s">
        <v>154</v>
      </c>
      <c r="AF15" s="44" t="s">
        <v>155</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64">
        <f>AE101/W3</f>
        <v>5.2630632451000201</v>
      </c>
      <c r="AE16" s="64">
        <f>AE101/W28</f>
        <v>29.590343652371484</v>
      </c>
      <c r="AF16" s="65">
        <f>AE101/W107</f>
        <v>32.67861679604799</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43" t="s">
        <v>156</v>
      </c>
      <c r="AD18" s="44" t="s">
        <v>157</v>
      </c>
      <c r="AE18" s="44" t="s">
        <v>158</v>
      </c>
      <c r="AF18" s="44" t="s">
        <v>159</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62">
        <v>30860000000</v>
      </c>
      <c r="Y19" s="62">
        <v>33810000000</v>
      </c>
      <c r="Z19" s="62">
        <v>36513000000</v>
      </c>
      <c r="AA19" s="62">
        <v>32962000000</v>
      </c>
      <c r="AB19" s="62">
        <v>35046000000</v>
      </c>
      <c r="AC19" s="47">
        <f>W40-W56-W61</f>
        <v>-24294000000</v>
      </c>
      <c r="AD19" s="64">
        <f>AE101/X3</f>
        <v>4.7273123255972234</v>
      </c>
      <c r="AE19" s="64">
        <f>AE101/X28</f>
        <v>25.280582347588716</v>
      </c>
      <c r="AF19" s="65">
        <f>AE101/X106</f>
        <v>23.182421983645771</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0.18446303830505872</v>
      </c>
      <c r="Y20" s="16">
        <f t="shared" ref="Y20" si="7">(Y19/X19)-1</f>
        <v>9.5593000648088067E-2</v>
      </c>
      <c r="Z20" s="16">
        <f t="shared" ref="Z20" si="8">(Z19/Y19)-1</f>
        <v>7.9946761313220982E-2</v>
      </c>
      <c r="AA20" s="16">
        <f t="shared" ref="AA20" si="9">(AA19/Z19)-1</f>
        <v>-9.7253033166269542E-2</v>
      </c>
      <c r="AB20" s="16">
        <f t="shared" ref="AB20" si="10">(AB19/AA19)-1</f>
        <v>6.3224318912687316E-2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63">
        <f>X19/X3</f>
        <v>0.35005331336917805</v>
      </c>
      <c r="Y21" s="63">
        <f t="shared" ref="Y21:AB21" si="11">Y19/Y3</f>
        <v>0.35526647612642903</v>
      </c>
      <c r="Z21" s="63">
        <f t="shared" si="11"/>
        <v>0.35867387033398823</v>
      </c>
      <c r="AA21" s="63">
        <f t="shared" si="11"/>
        <v>0.2988395285584769</v>
      </c>
      <c r="AB21" s="63">
        <f t="shared" si="11"/>
        <v>0.29801020408163265</v>
      </c>
      <c r="AE21" s="43" t="s">
        <v>164</v>
      </c>
      <c r="AF21" s="44" t="s">
        <v>165</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E22" s="77">
        <f>(-1*W98)/AE101</f>
        <v>1.4457094702248636E-2</v>
      </c>
      <c r="AF22" s="78">
        <f>W107/AE101</f>
        <v>3.0601050412909021E-2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59">
        <v>16485000000</v>
      </c>
      <c r="Y28" s="59">
        <v>18257000000</v>
      </c>
      <c r="Z28" s="59">
        <v>19971000000</v>
      </c>
      <c r="AA28" s="59">
        <v>20828000000</v>
      </c>
      <c r="AB28" s="59">
        <v>22574000000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0.17047713717693846</v>
      </c>
      <c r="Y29" s="16">
        <f t="shared" ref="Y29" si="14">(Y28/X28)-1</f>
        <v>0.10749165908401581</v>
      </c>
      <c r="Z29" s="16">
        <f t="shared" ref="Z29" si="15">(Z28/Y28)-1</f>
        <v>9.3881798762118551E-2</v>
      </c>
      <c r="AA29" s="16">
        <f t="shared" ref="AA29" si="16">(AA28/Z28)-1</f>
        <v>4.2912222722948368E-2</v>
      </c>
      <c r="AB29" s="16">
        <f t="shared" ref="AB29" si="17">(AB28/AA28)-1</f>
        <v>8.3829460341847462E-2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60">
        <f>X28/X3</f>
        <v>0.1869938065745593</v>
      </c>
      <c r="Y30" s="60">
        <f t="shared" ref="Y30:AB30" si="18">Y28/Y3</f>
        <v>0.19183969401479489</v>
      </c>
      <c r="Z30" s="60">
        <f t="shared" si="18"/>
        <v>0.1961787819253438</v>
      </c>
      <c r="AA30" s="60">
        <f t="shared" si="18"/>
        <v>0.18883046237533999</v>
      </c>
      <c r="AB30" s="60">
        <f t="shared" si="18"/>
        <v>0.19195578231292518</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61">
        <v>32.9</v>
      </c>
      <c r="Y31" s="61">
        <v>36.44</v>
      </c>
      <c r="Z31" s="61">
        <v>39.86</v>
      </c>
      <c r="AA31" s="61">
        <v>41.57</v>
      </c>
      <c r="AB31" s="61">
        <v>45.05</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151</v>
      </c>
      <c r="B35" s="1"/>
      <c r="C35" s="42">
        <f>(C34-B34)/B34</f>
        <v>1.5984924399757156E-3</v>
      </c>
      <c r="D35" s="42">
        <f t="shared" ref="D35:G35" si="19">(D34-C34)/C34</f>
        <v>2.0299699610447368E-3</v>
      </c>
      <c r="E35" s="42">
        <f t="shared" si="19"/>
        <v>3.6979051185813075E-4</v>
      </c>
      <c r="F35" s="42">
        <f t="shared" si="19"/>
        <v>-3.2608048082341745E-2</v>
      </c>
      <c r="G35" s="42">
        <f t="shared" si="19"/>
        <v>7.2243810072294117E-3</v>
      </c>
      <c r="H35" s="42">
        <f t="shared" ref="H35" si="20">(H34-G34)/G34</f>
        <v>5.0678536711124744E-3</v>
      </c>
      <c r="I35" s="42">
        <f t="shared" ref="I35" si="21">(I34-H34)/H34</f>
        <v>-8.920847941377142E-3</v>
      </c>
      <c r="J35" s="42">
        <f t="shared" ref="J35" si="22">(J34-I34)/I34</f>
        <v>-1.6245367177126757E-3</v>
      </c>
      <c r="K35" s="42">
        <f t="shared" ref="K35" si="23">(K34-J34)/J34</f>
        <v>1.032282955856368E-2</v>
      </c>
      <c r="L35" s="42">
        <f t="shared" ref="L35" si="24">(L34-K34)/K34</f>
        <v>2.5988666516375443E-2</v>
      </c>
      <c r="M35" s="42">
        <f t="shared" ref="M35" si="25">(M34-L34)/L34</f>
        <v>2.036226624522814E-2</v>
      </c>
      <c r="N35" s="42">
        <f t="shared" ref="N35" si="26">(N34-M34)/M34</f>
        <v>1.9663203997837232E-3</v>
      </c>
      <c r="O35" s="42">
        <f t="shared" ref="O35" si="27">(O34-N34)/N34</f>
        <v>1.2802337037974656E-3</v>
      </c>
      <c r="P35" s="42">
        <f t="shared" ref="P35" si="28">(P34-O34)/O34</f>
        <v>2.0505883505941899E-3</v>
      </c>
      <c r="Q35" s="42">
        <f t="shared" ref="Q35" si="29">(Q34-P34)/P34</f>
        <v>-5.0403950765631159E-4</v>
      </c>
      <c r="R35" s="42">
        <f t="shared" ref="R35" si="30">(R34-Q34)/Q34</f>
        <v>-1.248746486258249E-3</v>
      </c>
      <c r="S35" s="42">
        <f t="shared" ref="S35" si="31">(S34-R34)/R34</f>
        <v>-1.8283555245898739E-4</v>
      </c>
      <c r="T35" s="42">
        <f t="shared" ref="T35" si="32">(T34-S34)/S34</f>
        <v>-1.5597374605327762E-4</v>
      </c>
      <c r="U35" s="42">
        <f t="shared" ref="U35" si="33">(U34-T34)/T34</f>
        <v>7.3553377436183834E-4</v>
      </c>
      <c r="V35" s="42">
        <f t="shared" ref="V35" si="34">(V34-U34)/U34</f>
        <v>0</v>
      </c>
      <c r="W35" s="42">
        <f t="shared" ref="W35" si="35">(W34-V34)/V34</f>
        <v>0</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3"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3">
        <v>0</v>
      </c>
      <c r="C79" s="23">
        <v>0</v>
      </c>
      <c r="D79" s="23">
        <v>0</v>
      </c>
      <c r="E79" s="23">
        <v>0</v>
      </c>
      <c r="F79" s="23">
        <v>0</v>
      </c>
      <c r="G79" s="23">
        <v>0</v>
      </c>
      <c r="H79" s="23">
        <v>0</v>
      </c>
      <c r="I79" s="23">
        <v>0</v>
      </c>
      <c r="J79" s="23">
        <v>0</v>
      </c>
      <c r="K79" s="23">
        <v>0</v>
      </c>
      <c r="L79" s="23">
        <v>0</v>
      </c>
      <c r="M79" s="23">
        <v>0</v>
      </c>
      <c r="N79" s="23">
        <v>0</v>
      </c>
      <c r="O79" s="23">
        <v>0</v>
      </c>
      <c r="P79" s="23">
        <v>0</v>
      </c>
      <c r="Q79" s="23">
        <v>0</v>
      </c>
      <c r="R79" s="23">
        <v>0</v>
      </c>
      <c r="S79" s="23">
        <v>0</v>
      </c>
      <c r="T79" s="23">
        <v>0</v>
      </c>
      <c r="U79" s="23">
        <v>0</v>
      </c>
      <c r="V79" s="23">
        <v>0</v>
      </c>
      <c r="W79" s="23">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71" t="s">
        <v>119</v>
      </c>
      <c r="AE83" s="72"/>
    </row>
    <row r="84" spans="1:3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AD84" s="73" t="s">
        <v>120</v>
      </c>
      <c r="AE84" s="74"/>
    </row>
    <row r="85" spans="1:31"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AD85" s="49" t="s">
        <v>101</v>
      </c>
      <c r="AE85" s="50">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49" t="s">
        <v>121</v>
      </c>
      <c r="AE86" s="50">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49" t="s">
        <v>122</v>
      </c>
      <c r="AE87" s="50">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51" t="s">
        <v>123</v>
      </c>
      <c r="AE88" s="52">
        <f>AE85/(AE86+AE87)</f>
        <v>1.0868946679565242E-2</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18"/>
      <c r="Y89" s="18"/>
      <c r="Z89" s="18"/>
      <c r="AA89" s="18"/>
      <c r="AB89" s="18"/>
      <c r="AC89" s="18"/>
      <c r="AD89" s="49" t="s">
        <v>124</v>
      </c>
      <c r="AE89" s="50">
        <f>W27</f>
        <v>5362000000</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AD90" s="49" t="s">
        <v>19</v>
      </c>
      <c r="AE90" s="50">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AD91" s="51" t="s">
        <v>125</v>
      </c>
      <c r="AE91" s="52">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AD92" s="53" t="s">
        <v>126</v>
      </c>
      <c r="AE92" s="54">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75" t="s">
        <v>127</v>
      </c>
      <c r="AE93" s="76"/>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49" t="s">
        <v>103</v>
      </c>
      <c r="AE94" s="55">
        <f>[1]Treasuries!$C$8</f>
        <v>3.739E-2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49" t="s">
        <v>128</v>
      </c>
      <c r="AE95" s="56" cm="1">
        <f t="array" ref="AE95">_FV(A1,"Beta")</f>
        <v>1.0128999999999999</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AD96" s="49" t="s">
        <v>129</v>
      </c>
      <c r="AE96" s="55">
        <v>8.4000000000000005E-2</v>
      </c>
    </row>
    <row r="97" spans="1:31"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AD97" s="53" t="s">
        <v>130</v>
      </c>
      <c r="AE97" s="54">
        <f>(AE94)+((AE95)*(AE96-AE94))</f>
        <v>8.4601269000000007E-2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75" t="s">
        <v>131</v>
      </c>
      <c r="AE98" s="76"/>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49" t="s">
        <v>132</v>
      </c>
      <c r="AE99" s="50">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51" t="s">
        <v>133</v>
      </c>
      <c r="AE100" s="52">
        <f>AE99/AE103</f>
        <v>7.7774463350449352E-2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49" t="s">
        <v>134</v>
      </c>
      <c r="AE101" s="36" cm="1">
        <f t="array" ref="AE101">_FV(A1,"Market cap",TRUE)</f>
        <v>416750400000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51" t="s">
        <v>135</v>
      </c>
      <c r="AE102" s="52">
        <f>AE101/AE103</f>
        <v>0.92222553664955065</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53" t="s">
        <v>136</v>
      </c>
      <c r="AE103" s="57">
        <f>AE99+AE101</f>
        <v>451896400000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24" t="s">
        <v>137</v>
      </c>
      <c r="AE104" s="25"/>
    </row>
    <row r="105" spans="1:31" ht="21" thickTop="1" x14ac:dyDescent="0.25">
      <c r="A105" s="17" t="s">
        <v>161</v>
      </c>
      <c r="B105" s="1">
        <f t="shared" ref="B105:V105" si="38">(B22*(1-$AE$91))+B77+B88+B81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(W22*(1-$AE$91))+W77+W88+W81</f>
        <v>14214821426.795921</v>
      </c>
      <c r="X105" s="26">
        <f>W105*(1+$AE$106)</f>
        <v>15386733320.566261</v>
      </c>
      <c r="Y105" s="26">
        <f t="shared" ref="Y105:AB105" si="39">X105*(1+$AE$106)</f>
        <v>16655261094.728279</v>
      </c>
      <c r="Z105" s="26">
        <f t="shared" si="39"/>
        <v>18028370048.033085</v>
      </c>
      <c r="AA105" s="26">
        <f t="shared" si="39"/>
        <v>19514682162.004196</v>
      </c>
      <c r="AB105" s="26">
        <f t="shared" si="39"/>
        <v>21123530239.806286</v>
      </c>
      <c r="AC105" s="27" t="s">
        <v>162</v>
      </c>
      <c r="AD105" s="21" t="s">
        <v>119</v>
      </c>
      <c r="AE105" s="22">
        <f>(AE100*AE92)+(AE102*AE97)</f>
        <v>7.864144085059474E-2</v>
      </c>
    </row>
    <row r="106" spans="1:31" ht="19" x14ac:dyDescent="0.25">
      <c r="A106" s="17" t="s">
        <v>106</v>
      </c>
      <c r="B106" s="1"/>
      <c r="C106" s="18">
        <f t="shared" ref="C106:W106" si="40">(C107/B107)-1</f>
        <v>-4.4024390243902438</v>
      </c>
      <c r="D106" s="18">
        <f t="shared" si="40"/>
        <v>-9.3906810035842336E-2</v>
      </c>
      <c r="E106" s="18">
        <f t="shared" si="40"/>
        <v>5.6170886075949333E-2</v>
      </c>
      <c r="F106" s="18">
        <f t="shared" si="40"/>
        <v>-3.5955056179775235E-2</v>
      </c>
      <c r="G106" s="18">
        <f t="shared" si="40"/>
        <v>0.1787101787101788</v>
      </c>
      <c r="H106" s="18">
        <f t="shared" si="40"/>
        <v>-3.2300593276203049E-2</v>
      </c>
      <c r="I106" s="18">
        <f t="shared" si="40"/>
        <v>-0.15599455040871935</v>
      </c>
      <c r="J106" s="18">
        <f t="shared" si="40"/>
        <v>0.76432606941081516</v>
      </c>
      <c r="K106" s="18">
        <f t="shared" si="40"/>
        <v>0.39387008234217746</v>
      </c>
      <c r="L106" s="18">
        <f t="shared" si="40"/>
        <v>-0.29176238923531339</v>
      </c>
      <c r="M106" s="18">
        <f t="shared" si="40"/>
        <v>7.7386468952733933E-2</v>
      </c>
      <c r="N106" s="18">
        <f t="shared" si="40"/>
        <v>0.19612903225806444</v>
      </c>
      <c r="O106" s="18">
        <f t="shared" si="40"/>
        <v>-7.9108234448039827E-3</v>
      </c>
      <c r="P106" s="18">
        <f t="shared" si="40"/>
        <v>0.29720913374411029</v>
      </c>
      <c r="Q106" s="18">
        <f t="shared" si="40"/>
        <v>1.9558535903883678E-2</v>
      </c>
      <c r="R106" s="18">
        <f t="shared" si="40"/>
        <v>0.28391340093176209</v>
      </c>
      <c r="S106" s="18">
        <f t="shared" si="40"/>
        <v>0.14172892209178234</v>
      </c>
      <c r="T106" s="18">
        <f t="shared" si="40"/>
        <v>0.57449990652458394</v>
      </c>
      <c r="U106" s="18">
        <f t="shared" si="40"/>
        <v>1.3061030634053949E-3</v>
      </c>
      <c r="V106" s="18">
        <f t="shared" si="40"/>
        <v>0.82521048262777175</v>
      </c>
      <c r="W106" s="18">
        <f t="shared" si="40"/>
        <v>-0.17145270270270274</v>
      </c>
      <c r="X106" s="66">
        <v>17977000000</v>
      </c>
      <c r="Y106" s="66">
        <v>20160000000</v>
      </c>
      <c r="Z106" s="66">
        <v>21886000000</v>
      </c>
      <c r="AA106" s="66">
        <v>23916666666.666698</v>
      </c>
      <c r="AB106" s="66">
        <v>25871166666.666698</v>
      </c>
      <c r="AC106" s="27" t="s">
        <v>163</v>
      </c>
      <c r="AD106" s="28" t="s">
        <v>138</v>
      </c>
      <c r="AE106" s="29">
        <f>(SUM(X4,Y4,Z4,AA4,AB4)/5)</f>
        <v>8.2442955742040164E-2</v>
      </c>
    </row>
    <row r="107" spans="1:31" ht="19" x14ac:dyDescent="0.25">
      <c r="A107" s="68" t="s">
        <v>160</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27"/>
      <c r="Y107" s="27"/>
      <c r="Z107" s="27"/>
      <c r="AA107" s="27"/>
      <c r="AB107" s="67">
        <f>AB106*(1+AE107)/(AE108-AE107)</f>
        <v>494355584280.30835</v>
      </c>
      <c r="AC107" s="30" t="s">
        <v>139</v>
      </c>
      <c r="AD107" s="31" t="s">
        <v>140</v>
      </c>
      <c r="AE107" s="32">
        <v>2.5000000000000001E-2</v>
      </c>
    </row>
    <row r="108" spans="1:31" ht="19" x14ac:dyDescent="0.25">
      <c r="X108" s="67">
        <f t="shared" ref="X108:AA108" si="41">X107+X106</f>
        <v>17977000000</v>
      </c>
      <c r="Y108" s="67">
        <f t="shared" si="41"/>
        <v>20160000000</v>
      </c>
      <c r="Z108" s="67">
        <f t="shared" si="41"/>
        <v>21886000000</v>
      </c>
      <c r="AA108" s="67">
        <f t="shared" si="41"/>
        <v>23916666666.666698</v>
      </c>
      <c r="AB108" s="67">
        <f>AB107+AB106</f>
        <v>520226750946.97504</v>
      </c>
      <c r="AC108" s="30" t="s">
        <v>136</v>
      </c>
      <c r="AD108" s="33" t="s">
        <v>141</v>
      </c>
      <c r="AE108" s="34">
        <f>AE105</f>
        <v>7.864144085059474E-2</v>
      </c>
    </row>
    <row r="109" spans="1:31" ht="19" x14ac:dyDescent="0.25">
      <c r="X109" s="69" t="s">
        <v>142</v>
      </c>
      <c r="Y109" s="70"/>
    </row>
    <row r="110" spans="1:31" ht="20" x14ac:dyDescent="0.25">
      <c r="X110" s="35" t="s">
        <v>143</v>
      </c>
      <c r="Y110" s="36">
        <f>NPV(AE108,X108,Y108,Z108,AA108,AB108)</f>
        <v>425394495589.61713</v>
      </c>
    </row>
    <row r="111" spans="1:31" ht="20" x14ac:dyDescent="0.25">
      <c r="X111" s="35" t="s">
        <v>144</v>
      </c>
      <c r="Y111" s="36">
        <f>W40</f>
        <v>10852000000</v>
      </c>
    </row>
    <row r="112" spans="1:31" ht="20" x14ac:dyDescent="0.25">
      <c r="X112" s="35" t="s">
        <v>132</v>
      </c>
      <c r="Y112" s="36">
        <f>AE99</f>
        <v>35146000000</v>
      </c>
    </row>
    <row r="113" spans="24:25" ht="20" x14ac:dyDescent="0.25">
      <c r="X113" s="35" t="s">
        <v>145</v>
      </c>
      <c r="Y113" s="36">
        <f>Y110+Y111-Y112</f>
        <v>401100495589.61713</v>
      </c>
    </row>
    <row r="114" spans="24:25" ht="20" x14ac:dyDescent="0.25">
      <c r="X114" s="35" t="s">
        <v>146</v>
      </c>
      <c r="Y114" s="48">
        <f>W34*(1+(5*AC16))</f>
        <v>504410165.50073248</v>
      </c>
    </row>
    <row r="115" spans="24:25" ht="20" x14ac:dyDescent="0.25">
      <c r="X115" s="37" t="s">
        <v>147</v>
      </c>
      <c r="Y115" s="38">
        <f>Y113/Y114</f>
        <v>795.18717706936195</v>
      </c>
    </row>
    <row r="116" spans="24:25" ht="20" x14ac:dyDescent="0.25">
      <c r="X116" s="35" t="s">
        <v>148</v>
      </c>
      <c r="Y116" s="58" cm="1">
        <f t="array" ref="Y116">_FV(A1,"Price")</f>
        <v>836.7</v>
      </c>
    </row>
    <row r="117" spans="24:25" ht="20" x14ac:dyDescent="0.25">
      <c r="X117" s="39" t="s">
        <v>149</v>
      </c>
      <c r="Y117" s="40">
        <f>Y115/Y116-1</f>
        <v>-4.9614943146453983E-2</v>
      </c>
    </row>
    <row r="118" spans="24:25" ht="20" x14ac:dyDescent="0.25">
      <c r="X118" s="39" t="s">
        <v>150</v>
      </c>
      <c r="Y118" s="41"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6"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2023-06-26T11:23:15Z</dcterms:modified>
</cp:coreProperties>
</file>