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2636CD69-81AA-9943-A671-E11AE193A8A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22" i="1" l="1"/>
  <c r="AN108" i="1"/>
  <c r="AO108" i="1"/>
  <c r="AP108" i="1"/>
  <c r="AQ108" i="1"/>
  <c r="AO105" i="1"/>
  <c r="AP105" i="1"/>
  <c r="AQ105" i="1" s="1"/>
  <c r="AR105" i="1" s="1"/>
  <c r="AN105" i="1"/>
  <c r="AO30" i="1"/>
  <c r="AP30" i="1"/>
  <c r="AQ30" i="1"/>
  <c r="AR30" i="1"/>
  <c r="AN30" i="1"/>
  <c r="AN29" i="1"/>
  <c r="AO29" i="1"/>
  <c r="AP29" i="1"/>
  <c r="AQ29" i="1"/>
  <c r="AR29" i="1"/>
  <c r="AO21" i="1"/>
  <c r="AP21" i="1"/>
  <c r="AQ21" i="1"/>
  <c r="AR21" i="1"/>
  <c r="AN21" i="1"/>
  <c r="AN20" i="1"/>
  <c r="AO20" i="1"/>
  <c r="AP20" i="1"/>
  <c r="AQ20" i="1"/>
  <c r="AR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U4" i="1"/>
  <c r="AT4" i="1"/>
  <c r="AS4" i="1"/>
  <c r="AR4" i="1"/>
  <c r="AQ4" i="1"/>
  <c r="AP4" i="1"/>
  <c r="AO4" i="1"/>
  <c r="AN4" i="1"/>
  <c r="AU106" i="1" s="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9" i="1" l="1"/>
  <c r="AV101" i="1"/>
  <c r="AU22" i="1"/>
  <c r="AU19" i="1"/>
  <c r="AT19" i="1"/>
  <c r="AU103" i="1"/>
  <c r="AU100" i="1" s="1"/>
  <c r="AO112" i="1"/>
  <c r="AV16" i="1"/>
  <c r="AU16" i="1"/>
  <c r="AT16" i="1"/>
  <c r="AU92" i="1"/>
  <c r="AU102" i="1" l="1"/>
  <c r="AU105" i="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<sst xmlns="http://schemas.openxmlformats.org/spreadsheetml/2006/main" count="1205" uniqueCount="168">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</sst>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7" borderId="0" xfId="0" applyNumberFormat="1" applyFont="1" applyFill="1" applyAlignment="1">
      <alignment horizontal="center" vertical="center"/>
    </xf>
    <xf numFmtId="0" fontId="1" fillId="0" borderId="0" xfId="0" applyFont="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0" fontId="11" fillId="0" borderId="11"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0" fontId="11" fillId="7" borderId="10" xfId="0" applyNumberFormat="1" applyFont="1" applyFill="1" applyBorder="1"/>
    <xf numFmtId="0" fontId="1" fillId="0" borderId="0" xfId="0" applyFont="1" applyAlignment="1">
      <alignment indent="1"/>
    </xf>
    <xf numFmtId="164" fontId="10" fillId="8" borderId="0" xfId="0" applyNumberFormat="1" applyFont="1" applyFill="1"/>
    <xf numFmtId="164" fontId="6" fillId="0" borderId="0" xfId="0" applyNumberFormat="1" applyFont="1" applyBorder="1"/>
    <xf numFmtId="9" fontId="1" fillId="0" borderId="0" xfId="0" applyNumberFormat="1" applyFont="1" applyBorder="1"/>
    <xf numFmtId="165" fontId="2"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9" fontId="10" fillId="0" borderId="0" xfId="0" applyNumberFormat="1" applyFont="1" applyBorder="1"/>
    <xf numFmtId="165" fontId="10" fillId="0" borderId="15" xfId="0" applyNumberFormat="1" applyFont="1" applyBorder="1"/>
    <xf numFmtId="164" fontId="1" fillId="8"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a:t>
            </a:r>
            <a:r>
              <a:rPr lang="en-US" sz="2400" baseline="0"/>
              <a:t> Nordisk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1292475502865972"/>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47625</xdr:colOff>
      <xdr:row>108</xdr:row>
      <xdr:rowOff>33337</xdr:rowOff>
    </xdr:from>
    <xdr:to>
      <xdr:col>47</xdr:col>
      <xdr:colOff>47625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0.76639999999999997</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2478</v>
    <v>1241560</v>
    <v>1931</v>
  </rv>
  <rv s="2">
    <v>1</v>
  </rv>
  <rv s="0">
    <v>https://www.bing.com/financeapi/forcetrigger?t=a1yvxm&amp;q=XNYS%3aNVO&amp;form=skydnc</v>
    <v>Learn more on Bing</v>
  </rv>
  <rv s="1">
    <v>0</v>
    <v>Novo Nordisk A/S (XNYS:NVO)</v>
    <v>2</v>
    <v>5</v>
    <v>Finance</v>
    <v>6</v>
    <v>en-US</v>
    <v>a1yvxm</v>
    <v>268435456</v>
    <v>1</v>
    <v>Powered by Refinitiv</v>
    <v>172.97</v>
    <v>95.02</v>
    <v>0.4738</v>
    <v>-0.95</v>
    <v>-5.9370000000000004E-3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159.80009999999999</v>
    <v>Pharmaceuticals</v>
    <v>Stock</v>
    <v>45100.999335925779</v>
    <v>3</v>
    <v>158.18</v>
    <v>275016400000</v>
    <v>Novo Nordisk A/S</v>
    <v>Novo Nordisk A/S</v>
    <v>158.47999999999999</v>
    <v>40.658099999999997</v>
    <v>160.02000000000001</v>
    <v>159.07</v>
    <v>1717564000</v>
    <v>NVO</v>
    <v>Novo Nordisk A/S (XNYS:NVO)</v>
    <v>6391</v>
    <v>1381259</v>
    <v>1931</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11</v>
      <v>10</v>
      <v>10</v>
      <v>10</v>
      <v>4</v>
      <v>7</v>
      <v>8</v>
      <v>9</v>
      <v>4</v>
    </spb>
    <spb s="5">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8" activePane="bottomRight" state="frozen"/>
      <selection pane="topRight"/>
      <selection pane="bottomLeft"/>
      <selection pane="bottomRight" activeCell="AR100" sqref="AR10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8">
        <v>222520000000</v>
      </c>
      <c r="AO3" s="28">
        <v>257800000000</v>
      </c>
      <c r="AP3" s="28">
        <v>291400000000</v>
      </c>
      <c r="AQ3" s="28">
        <v>321900000000</v>
      </c>
      <c r="AR3" s="28">
        <v>361200000000</v>
      </c>
      <c r="AS3" s="18" t="s">
        <v>108</v>
      </c>
      <c r="AT3" s="19" t="s">
        <v>109</v>
      </c>
      <c r="AU3" s="19" t="s">
        <v>110</v>
      </c>
      <c r="AV3" s="19" t="s">
        <v>111</v>
      </c>
    </row>
    <row r="4" spans="1:48" ht="19" x14ac:dyDescent="0.25">
      <c r="A4" s="14" t="s">
        <v>93</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0.15854754628797418</v>
      </c>
      <c r="AP4" s="16">
        <f t="shared" si="0"/>
        <v>0.13033359193173011</v>
      </c>
      <c r="AQ4" s="16">
        <f t="shared" si="0"/>
        <v>0.10466712422786539</v>
      </c>
      <c r="AR4" s="16">
        <f t="shared" si="0"/>
        <v>0.12208760484622561</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19" t="s">
        <v>113</v>
      </c>
      <c r="AU6" s="19" t="s">
        <v>114</v>
      </c>
      <c r="AV6" s="19"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AM107/AM3</f>
        <v>0.36243317472337444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9">
        <f>(AM35+AL35+AK35+AJ35+AI35)/5</f>
        <v>-1.7157376237623801E-2</v>
      </c>
      <c r="AT16" s="30">
        <f>AU101/AM3</f>
        <v>4.4019880872995243</v>
      </c>
      <c r="AU16" s="30">
        <f>AU101/AM28</f>
        <v>14.028805042773525</v>
      </c>
      <c r="AV16" s="31">
        <f>AU101/AM107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159</v>
      </c>
      <c r="AU18" s="19" t="s">
        <v>160</v>
      </c>
      <c r="AV18" s="19" t="s">
        <v>161</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80">
        <v>104100000000</v>
      </c>
      <c r="AO19" s="80">
        <v>122600000000</v>
      </c>
      <c r="AP19" s="80">
        <v>140100000000</v>
      </c>
      <c r="AQ19" s="80">
        <v>159100000000</v>
      </c>
      <c r="AR19" s="80">
        <v>180100000000</v>
      </c>
      <c r="AS19" s="32">
        <f>AM40-AM56-AM61</f>
        <v>-2210000000</v>
      </c>
      <c r="AT19" s="67">
        <f>AU101/AN3</f>
        <v>3.5005815207621787</v>
      </c>
      <c r="AU19" s="67">
        <f>AU101/AN28</f>
        <v>9.8405624265699814</v>
      </c>
      <c r="AV19" s="68">
        <f>AU101/AN106</f>
        <v>11.032808804158464</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75">
        <f t="shared" si="3"/>
        <v>0.17445025537511083</v>
      </c>
      <c r="AN20" s="81">
        <f t="shared" ref="AN20" si="4">(AN19/AM19)-1</f>
        <v>0.35543345225384759</v>
      </c>
      <c r="AO20" s="81">
        <f t="shared" ref="AO20" si="5">(AO19/AN19)-1</f>
        <v>0.17771373679154667</v>
      </c>
      <c r="AP20" s="81">
        <f t="shared" ref="AP20" si="6">(AP19/AO19)-1</f>
        <v>0.14274061990212061</v>
      </c>
      <c r="AQ20" s="81">
        <f t="shared" ref="AQ20" si="7">(AQ19/AP19)-1</f>
        <v>0.13561741613133482</v>
      </c>
      <c r="AR20" s="81">
        <f t="shared" ref="AR20" si="8">(AR19/AQ19)-1</f>
        <v>0.13199245757385292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76">
        <v>0.434</v>
      </c>
      <c r="AN21" s="82">
        <f>AN19/AN3</f>
        <v>0.46782311702318891</v>
      </c>
      <c r="AO21" s="82">
        <f t="shared" ref="AO21:AR21" si="9">AO19/AO3</f>
        <v>0.47556245151280063</v>
      </c>
      <c r="AP21" s="82">
        <f t="shared" si="9"/>
        <v>0.4807824296499657</v>
      </c>
      <c r="AQ21" s="82">
        <f t="shared" si="9"/>
        <v>0.4942528735632184</v>
      </c>
      <c r="AR21" s="82">
        <f t="shared" si="9"/>
        <v>0.49861572535991139</v>
      </c>
      <c r="AU21" s="18" t="s">
        <v>162</v>
      </c>
      <c r="AV21" s="19" t="s">
        <v>163</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74">
        <v>74809000000</v>
      </c>
      <c r="AU22" s="69">
        <f>(-1*AM98)/AU101</f>
        <v>3.248349636061084E-2</v>
      </c>
      <c r="AV22" s="70">
        <f>AM107/AU101</f>
        <v>8.2333974453282846E-2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77">
        <v>79157000000</v>
      </c>
      <c r="AO28" s="77">
        <v>90647000000</v>
      </c>
      <c r="AP28" s="77">
        <v>103700000000</v>
      </c>
      <c r="AQ28" s="77">
        <v>115200000000</v>
      </c>
      <c r="AR28" s="77">
        <v>126100000000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0.42561008554705082</v>
      </c>
      <c r="AO29" s="16">
        <f t="shared" ref="AO29" si="12">(AO28/AN28)-1</f>
        <v>0.14515456624177259</v>
      </c>
      <c r="AP29" s="16">
        <f t="shared" ref="AP29" si="13">(AP28/AO28)-1</f>
        <v>0.14399814665681165</v>
      </c>
      <c r="AQ29" s="16">
        <f t="shared" ref="AQ29" si="14">(AQ28/AP28)-1</f>
        <v>0.11089681774349081</v>
      </c>
      <c r="AR29" s="16">
        <f t="shared" ref="AR29" si="15">(AR28/AQ28)-1</f>
        <v>9.461805555555558E-2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78">
        <f>AN28/AN3</f>
        <v>0.35572982203846848</v>
      </c>
      <c r="AO30" s="78">
        <f t="shared" ref="AO30:AR30" si="16">AO28/AO3</f>
        <v>0.35161753297129555</v>
      </c>
      <c r="AP30" s="78">
        <f t="shared" si="16"/>
        <v>0.35586822237474264</v>
      </c>
      <c r="AQ30" s="78">
        <f t="shared" si="16"/>
        <v>0.35787511649580617</v>
      </c>
      <c r="AR30" s="78">
        <f t="shared" si="16"/>
        <v>0.3491140642303433</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79">
        <v>35.31</v>
      </c>
      <c r="AO31" s="79">
        <v>40.43</v>
      </c>
      <c r="AP31" s="79">
        <v>46.27</v>
      </c>
      <c r="AQ31" s="79">
        <v>51.37</v>
      </c>
      <c r="AR31" s="79">
        <v>56.26</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63" t="s">
        <v>125</v>
      </c>
      <c r="AU83" s="64"/>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65" t="s">
        <v>126</v>
      </c>
      <c r="AU84" s="66"/>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23" t="s">
        <v>127</v>
      </c>
      <c r="AU85" s="24">
        <f>AM17</f>
        <v>378000000</v>
      </c>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23" t="s">
        <v>128</v>
      </c>
      <c r="AU86" s="24">
        <f>AM56</f>
        <v>1466000000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23" t="s">
        <v>129</v>
      </c>
      <c r="AU87" s="24">
        <f>AM61</f>
        <v>24318000000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33" t="s">
        <v>130</v>
      </c>
      <c r="AU88" s="34">
        <f>AU85/(AU86+AU87)</f>
        <v>1.4660254421346572E-2</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T89" s="23" t="s">
        <v>105</v>
      </c>
      <c r="AU89" s="24">
        <f>AM27</f>
        <v>13537000000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T90" s="23" t="s">
        <v>19</v>
      </c>
      <c r="AU90" s="24">
        <f>AM25</f>
        <v>69062000000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T91" s="33" t="s">
        <v>131</v>
      </c>
      <c r="AU91" s="34">
        <f>AU89/AU90</f>
        <v>0.19601227882192812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T92" s="35" t="s">
        <v>132</v>
      </c>
      <c r="AU92" s="36">
        <f>AU88*(1-AU91)</f>
        <v>1.1786664544109184E-2</v>
      </c>
    </row>
    <row r="93" spans="1:47" ht="19"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65" t="s">
        <v>133</v>
      </c>
      <c r="AU93" s="66"/>
    </row>
    <row r="94" spans="1:47" ht="20"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23" t="s">
        <v>134</v>
      </c>
      <c r="AU94" s="71">
        <f>[1]Treasuries!$C$8</f>
        <v>3.739E-2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T95" s="38" t="s">
        <v>135</v>
      </c>
      <c r="AU95" s="39" cm="1">
        <f t="array" ref="AU95">_FV(A1,"Beta")</f>
        <v>0.76639999999999997</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T96" s="23" t="s">
        <v>136</v>
      </c>
      <c r="AU96" s="37">
        <v>8.4000000000000005E-2</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35" t="s">
        <v>137</v>
      </c>
      <c r="AU97" s="36">
        <f>(AU94)+((AU95)*(AU96-AU94))</f>
        <v>7.3111904000000005E-2</v>
      </c>
    </row>
    <row r="98" spans="1:48" ht="19"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65" t="s">
        <v>138</v>
      </c>
      <c r="AU98" s="66"/>
      <c r="AV98" s="59" t="e" vm="2">
        <v>#VALUE!</v>
      </c>
    </row>
    <row r="99" spans="1:48" ht="20"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T99" s="23" t="s">
        <v>139</v>
      </c>
      <c r="AU99" s="24">
        <f>AU86+AU87</f>
        <v>25784000000</v>
      </c>
      <c r="AV99" s="59" t="s">
        <v>158</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33" t="s">
        <v>140</v>
      </c>
      <c r="AU100" s="34">
        <f>AU99/AU103</f>
        <v>3.204042481646717E-2</v>
      </c>
      <c r="AV100" s="60">
        <v>0.15</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38" t="s">
        <v>141</v>
      </c>
      <c r="AU101" s="40" cm="1">
        <f t="array" ref="AU101">_FV(A1,"Market cap",TRUE)</f>
        <v>778949400000</v>
      </c>
      <c r="AV101" s="59">
        <f>AU101*AV100</f>
        <v>116842410000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33" t="s">
        <v>142</v>
      </c>
      <c r="AU102" s="34">
        <f>AU101/AU103</f>
        <v>0.96795957518353282</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35" t="s">
        <v>143</v>
      </c>
      <c r="AU103" s="41">
        <f>AU99+AU101</f>
        <v>804733400000</v>
      </c>
    </row>
    <row r="104" spans="1:48"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65" t="s">
        <v>144</v>
      </c>
      <c r="AU104" s="66"/>
    </row>
    <row r="105" spans="1:48" ht="21" thickTop="1" x14ac:dyDescent="0.25">
      <c r="A105" s="14" t="s">
        <v>164</v>
      </c>
      <c r="B105" s="1" t="e">
        <f t="shared" ref="B105:AL105" si="20">(B22*(1-$AU$91))+B77+B88+B81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(AM22*(1-$AU$91))+AM77+AM88+AM81</f>
        <v>50025517433.610382</v>
      </c>
      <c r="AN105" s="42">
        <f>AM105*(1+$AU$106)</f>
        <v>57760841301.723824</v>
      </c>
      <c r="AO105" s="42">
        <f t="shared" ref="AO105:AR105" si="21">AN105*(1+$AU$106)</f>
        <v>66692259451.600845</v>
      </c>
      <c r="AP105" s="42">
        <f t="shared" si="21"/>
        <v>77004721027.615982</v>
      </c>
      <c r="AQ105" s="42">
        <f t="shared" si="21"/>
        <v>88911773409.68959</v>
      </c>
      <c r="AR105" s="42">
        <f t="shared" si="21"/>
        <v>102659984288.76755</v>
      </c>
      <c r="AS105" s="43" t="s">
        <v>166</v>
      </c>
      <c r="AT105" s="25" t="s">
        <v>107</v>
      </c>
      <c r="AU105" s="26">
        <f>(AU100*AU92)+(AU102*AU97)</f>
        <v>7.1147017275861688E-2</v>
      </c>
    </row>
    <row r="106" spans="1:48" ht="19" x14ac:dyDescent="0.25">
      <c r="A106" s="14" t="s">
        <v>106</v>
      </c>
      <c r="B106" s="1"/>
      <c r="C106" s="15" t="e">
        <f>(C107/B107)-1</f>
        <v>#VALUE!</v>
      </c>
      <c r="D106" s="15" t="e">
        <f>(D107/C107)-1</f>
        <v>#VALUE!</v>
      </c>
      <c r="E106" s="15" t="e">
        <f>(E107/D107)-1</f>
        <v>#VALUE!</v>
      </c>
      <c r="F106" s="15" t="e">
        <f>(F107/E107)-1</f>
        <v>#VALUE!</v>
      </c>
      <c r="G106" s="15" t="e">
        <f>(G107/F107)-1</f>
        <v>#VALUE!</v>
      </c>
      <c r="H106" s="15">
        <f>(H107/G107)-1</f>
        <v>-1.4923508615631733</v>
      </c>
      <c r="I106" s="15">
        <f>(I107/H107)-1</f>
        <v>2.8101263736314053</v>
      </c>
      <c r="J106" s="15">
        <f>(J107/I107)-1</f>
        <v>-0.21937066760666624</v>
      </c>
      <c r="K106" s="15">
        <f>(K107/J107)-1</f>
        <v>-2.8996513352278264</v>
      </c>
      <c r="L106" s="15">
        <f>(L107/K107)-1</f>
        <v>0.11557009173442379</v>
      </c>
      <c r="M106" s="15">
        <f>(M107/L107)-1</f>
        <v>-1.1223123280708309</v>
      </c>
      <c r="N106" s="15">
        <f>(N107/M107)-1</f>
        <v>-4.3398941240330196</v>
      </c>
      <c r="O106" s="15">
        <f>(O107/N107)-1</f>
        <v>2.1695874794635279</v>
      </c>
      <c r="P106" s="15">
        <f>(P107/O107)-1</f>
        <v>0.27193254100034836</v>
      </c>
      <c r="Q106" s="15">
        <f>(Q107/P107)-1</f>
        <v>0.70293243506219127</v>
      </c>
      <c r="R106" s="15">
        <f>(R107/Q107)-1</f>
        <v>-0.8701742149232512</v>
      </c>
      <c r="S106" s="15">
        <f>(S107/R107)-1</f>
        <v>1.4663535236371517</v>
      </c>
      <c r="T106" s="15">
        <f>(T107/S107)-1</f>
        <v>2.9538000381998097</v>
      </c>
      <c r="U106" s="15">
        <f>(U107/T107)-1</f>
        <v>0.22304824715743088</v>
      </c>
      <c r="V106" s="15">
        <f>(V107/U107)-1</f>
        <v>7.1392679674461945E-2</v>
      </c>
      <c r="W106" s="15">
        <f>(W107/V107)-1</f>
        <v>-7.8942953998839882E-2</v>
      </c>
      <c r="X106" s="15">
        <f>(X107/W107)-1</f>
        <v>0.710669498405192</v>
      </c>
      <c r="Y106" s="15">
        <f>(Y107/X107)-1</f>
        <v>0.4339976640700145</v>
      </c>
      <c r="Z106" s="15">
        <f>(Z107/Y107)-1</f>
        <v>0.13446994943615942</v>
      </c>
      <c r="AA106" s="15">
        <f>(AA107/Z107)-1</f>
        <v>0.28173475188824826</v>
      </c>
      <c r="AB106" s="15">
        <f>(AB107/AA107)-1</f>
        <v>0.14320111519452539</v>
      </c>
      <c r="AC106" s="15">
        <f>(AC107/AB107)-1</f>
        <v>3.048442523001893E-2</v>
      </c>
      <c r="AD106" s="15">
        <f>(AD107/AC107)-1</f>
        <v>0.19933304647160077</v>
      </c>
      <c r="AE106" s="15">
        <f>(AE107/AD107)-1</f>
        <v>0.22688133464884741</v>
      </c>
      <c r="AF106" s="15">
        <f>(AF107/AE107)-1</f>
        <v>0.16536900975984214</v>
      </c>
      <c r="AG106" s="15">
        <f>(AG107/AF107)-1</f>
        <v>0.25614002070198549</v>
      </c>
      <c r="AH106" s="15">
        <f>(AH107/AG107)-1</f>
        <v>-0.18795415386920367</v>
      </c>
      <c r="AI106" s="15">
        <f>(AI107/AH107)-1</f>
        <v>-9.6555965559655954E-3</v>
      </c>
      <c r="AJ106" s="15">
        <f>(AJ107/AI107)-1</f>
        <v>0.1038626342917468</v>
      </c>
      <c r="AK106" s="15">
        <f>(AK107/AJ107)-1</f>
        <v>-0.15979859919552197</v>
      </c>
      <c r="AL106" s="15">
        <f>(AL107/AK107)-1</f>
        <v>0.59407432206226973</v>
      </c>
      <c r="AM106" s="15">
        <f>(AM107/AL107)-1</f>
        <v>0.34692848892155825</v>
      </c>
      <c r="AN106" s="73">
        <v>70603000000</v>
      </c>
      <c r="AO106" s="73">
        <v>82481000000</v>
      </c>
      <c r="AP106" s="73">
        <v>95000000000</v>
      </c>
      <c r="AQ106" s="73">
        <v>110700000000</v>
      </c>
      <c r="AR106" s="73">
        <v>131700000000</v>
      </c>
      <c r="AS106" s="43" t="s">
        <v>167</v>
      </c>
      <c r="AT106" s="44" t="s">
        <v>145</v>
      </c>
      <c r="AU106" s="45">
        <f>(SUM(AN4:AR4)/5)</f>
        <v>0.15462756339060574</v>
      </c>
    </row>
    <row r="107" spans="1:48" ht="19" x14ac:dyDescent="0.25">
      <c r="A107" s="72" t="s">
        <v>165</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43"/>
      <c r="AO107" s="43"/>
      <c r="AP107" s="43"/>
      <c r="AQ107" s="43"/>
      <c r="AR107" s="83">
        <f>AR106*(1+AU107)/(AU108-AU107)</f>
        <v>2925270320138.5688</v>
      </c>
      <c r="AS107" s="46" t="s">
        <v>146</v>
      </c>
      <c r="AT107" s="47" t="s">
        <v>147</v>
      </c>
      <c r="AU107" s="48">
        <v>2.5000000000000001E-2</v>
      </c>
    </row>
    <row r="108" spans="1:48" ht="19" x14ac:dyDescent="0.25">
      <c r="AN108" s="83">
        <f t="shared" ref="AN108:AQ108" si="22">AN107+AN106</f>
        <v>70603000000</v>
      </c>
      <c r="AO108" s="83">
        <f t="shared" si="22"/>
        <v>82481000000</v>
      </c>
      <c r="AP108" s="83">
        <f t="shared" si="22"/>
        <v>95000000000</v>
      </c>
      <c r="AQ108" s="83">
        <f t="shared" si="22"/>
        <v>110700000000</v>
      </c>
      <c r="AR108" s="83">
        <f>AR107+AR106</f>
        <v>3056970320138.5688</v>
      </c>
      <c r="AS108" s="46" t="s">
        <v>143</v>
      </c>
      <c r="AT108" s="49" t="s">
        <v>148</v>
      </c>
      <c r="AU108" s="50">
        <f>AU105</f>
        <v>7.1147017275861688E-2</v>
      </c>
    </row>
    <row r="109" spans="1:48" ht="19" x14ac:dyDescent="0.25">
      <c r="AN109" s="61" t="s">
        <v>149</v>
      </c>
      <c r="AO109" s="62"/>
    </row>
    <row r="110" spans="1:48" ht="20" x14ac:dyDescent="0.25">
      <c r="AN110" s="51" t="s">
        <v>150</v>
      </c>
      <c r="AO110" s="40">
        <f>NPV(AU108,AN108,AO108,AP108,AQ108,AR108)</f>
        <v>2467124892441.2739</v>
      </c>
    </row>
    <row r="111" spans="1:48" ht="20" x14ac:dyDescent="0.25">
      <c r="AN111" s="51" t="s">
        <v>151</v>
      </c>
      <c r="AO111" s="40">
        <f>AM40</f>
        <v>23574000000</v>
      </c>
    </row>
    <row r="112" spans="1:48" ht="20" x14ac:dyDescent="0.25">
      <c r="AN112" s="51" t="s">
        <v>139</v>
      </c>
      <c r="AO112" s="40">
        <f>AU99</f>
        <v>25784000000</v>
      </c>
    </row>
    <row r="113" spans="40:41" ht="20" x14ac:dyDescent="0.25">
      <c r="AN113" s="51" t="s">
        <v>152</v>
      </c>
      <c r="AO113" s="40">
        <f>AO110+AO111-AO112</f>
        <v>2464914892441.2739</v>
      </c>
    </row>
    <row r="114" spans="40:41" ht="20" x14ac:dyDescent="0.25">
      <c r="AN114" s="51" t="s">
        <v>153</v>
      </c>
      <c r="AO114" s="52">
        <f>AM34*(1+(5*AS16))</f>
        <v>2077366469.8762372</v>
      </c>
    </row>
    <row r="115" spans="40:41" ht="20" x14ac:dyDescent="0.25">
      <c r="AN115" s="53" t="s">
        <v>154</v>
      </c>
      <c r="AO115" s="54">
        <f>AO113/AO114*AV100</f>
        <v>177.98363419633844</v>
      </c>
    </row>
    <row r="116" spans="40:41" ht="20" x14ac:dyDescent="0.25">
      <c r="AN116" s="51" t="s">
        <v>155</v>
      </c>
      <c r="AO116" s="55" cm="1">
        <f t="array" ref="AO116">_FV(AV98,"Price")</f>
        <v>159.07</v>
      </c>
    </row>
    <row r="117" spans="40:41" ht="20" x14ac:dyDescent="0.25">
      <c r="AN117" s="56" t="s">
        <v>156</v>
      </c>
      <c r="AO117" s="57">
        <f>AO115/AO116-1</f>
        <v>0.1189013276943387</v>
      </c>
    </row>
    <row r="118" spans="40:41" ht="20" x14ac:dyDescent="0.25">
      <c r="AN118" s="56" t="s">
        <v>157</v>
      </c>
      <c r="AO118" s="58"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6"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2023-03-14T05:50:53Z</dcterms:created>
  <dcterms:modified xsi:type="dcterms:W3CDTF">2023-06-26T11:22:28Z</dcterms:modified>
</cp:coreProperties>
</file>