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F1DE5BD9-7DF1-6740-A094-523E12450300}"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22" i="1" l="1"/>
  <c r="X22" i="1"/>
  <c r="X94" i="1"/>
  <c r="R114" i="1"/>
  <c r="Q108" i="1"/>
  <c r="R108" i="1"/>
  <c r="S108" i="1"/>
  <c r="T108" i="1"/>
  <c r="R105" i="1"/>
  <c r="S105" i="1" s="1"/>
  <c r="T105" i="1" s="1"/>
  <c r="U105" i="1" s="1"/>
  <c r="Q105" i="1"/>
  <c r="C105" i="1"/>
  <c r="D105" i="1"/>
  <c r="E105" i="1"/>
  <c r="F105" i="1"/>
  <c r="G105" i="1"/>
  <c r="H105" i="1"/>
  <c r="I105" i="1"/>
  <c r="J105" i="1"/>
  <c r="K105" i="1"/>
  <c r="L105" i="1"/>
  <c r="M105" i="1"/>
  <c r="N105" i="1"/>
  <c r="O105" i="1"/>
  <c r="P105" i="1"/>
  <c r="R30" i="1"/>
  <c r="S30" i="1"/>
  <c r="T30" i="1"/>
  <c r="U30" i="1"/>
  <c r="Q30" i="1"/>
  <c r="Q29" i="1"/>
  <c r="R29" i="1"/>
  <c r="S29" i="1"/>
  <c r="T29" i="1"/>
  <c r="U29" i="1"/>
  <c r="R21" i="1"/>
  <c r="S21" i="1"/>
  <c r="T21" i="1"/>
  <c r="U21" i="1"/>
  <c r="Q21" i="1"/>
  <c r="Q20" i="1"/>
  <c r="R20" i="1"/>
  <c r="T20" i="1"/>
  <c r="U20" i="1"/>
  <c r="R116" i="1" a="1"/>
  <c r="R116" i="1" s="1"/>
  <c r="X101" i="1" a="1"/>
  <c r="X101" i="1" s="1"/>
  <c r="X19" i="1" s="1"/>
  <c r="X95" i="1" a="1"/>
  <c r="X95" i="1" s="1"/>
  <c r="P13" i="1"/>
  <c r="X86" i="1"/>
  <c r="X87" i="1"/>
  <c r="X99" i="1"/>
  <c r="X85" i="1"/>
  <c r="X88" i="1"/>
  <c r="X89" i="1"/>
  <c r="X90" i="1"/>
  <c r="X91" i="1"/>
  <c r="X92" i="1"/>
  <c r="R111" i="1"/>
  <c r="R112" i="1"/>
  <c r="V16" i="1"/>
  <c r="Q4" i="1"/>
  <c r="R4" i="1"/>
  <c r="S4" i="1"/>
  <c r="T4" i="1"/>
  <c r="U4" i="1"/>
  <c r="V19" i="1"/>
  <c r="Y13" i="1"/>
  <c r="X13" i="1"/>
  <c r="W13" i="1"/>
  <c r="V13" i="1"/>
  <c r="Y10" i="1"/>
  <c r="X10" i="1"/>
  <c r="W10" i="1"/>
  <c r="V10" i="1"/>
  <c r="Y7" i="1"/>
  <c r="X7" i="1"/>
  <c r="W7" i="1"/>
  <c r="V7" i="1"/>
  <c r="Y4" i="1"/>
  <c r="X4" i="1"/>
  <c r="W4" i="1"/>
  <c r="V4" i="1"/>
  <c r="P106" i="1"/>
  <c r="O106" i="1"/>
  <c r="N106" i="1"/>
  <c r="M106" i="1"/>
  <c r="L106" i="1"/>
  <c r="K106" i="1"/>
  <c r="J106" i="1"/>
  <c r="I106" i="1"/>
  <c r="H106" i="1"/>
  <c r="G106" i="1"/>
  <c r="F106" i="1"/>
  <c r="E106" i="1"/>
  <c r="D106" i="1"/>
  <c r="C106" i="1"/>
  <c r="P89" i="1"/>
  <c r="O89" i="1"/>
  <c r="N89" i="1"/>
  <c r="M89" i="1"/>
  <c r="L89" i="1"/>
  <c r="K89" i="1"/>
  <c r="J89" i="1"/>
  <c r="I89" i="1"/>
  <c r="H89" i="1"/>
  <c r="G89" i="1"/>
  <c r="F89" i="1"/>
  <c r="E89" i="1"/>
  <c r="D89" i="1"/>
  <c r="C89" i="1"/>
  <c r="B89" i="1"/>
  <c r="P80" i="1"/>
  <c r="O80" i="1"/>
  <c r="N80" i="1"/>
  <c r="M80" i="1"/>
  <c r="L80" i="1"/>
  <c r="K80" i="1"/>
  <c r="J80" i="1"/>
  <c r="I80" i="1"/>
  <c r="H80" i="1"/>
  <c r="G80" i="1"/>
  <c r="F80" i="1"/>
  <c r="E80" i="1"/>
  <c r="D80" i="1"/>
  <c r="C80" i="1"/>
  <c r="B80" i="1"/>
  <c r="P35" i="1"/>
  <c r="O35" i="1"/>
  <c r="N35" i="1"/>
  <c r="M35" i="1"/>
  <c r="L35" i="1"/>
  <c r="K35" i="1"/>
  <c r="J35" i="1"/>
  <c r="I35" i="1"/>
  <c r="H35" i="1"/>
  <c r="G35" i="1"/>
  <c r="F35" i="1"/>
  <c r="E35" i="1"/>
  <c r="D35" i="1"/>
  <c r="C35" i="1"/>
  <c r="P29" i="1"/>
  <c r="O29" i="1"/>
  <c r="N29" i="1"/>
  <c r="M29" i="1"/>
  <c r="L29" i="1"/>
  <c r="K29" i="1"/>
  <c r="J29" i="1"/>
  <c r="I29" i="1"/>
  <c r="H29" i="1"/>
  <c r="G29" i="1"/>
  <c r="F29" i="1"/>
  <c r="E29" i="1"/>
  <c r="D29" i="1"/>
  <c r="C29" i="1"/>
  <c r="P20" i="1"/>
  <c r="O20" i="1"/>
  <c r="N20" i="1"/>
  <c r="M20" i="1"/>
  <c r="L20" i="1"/>
  <c r="K20" i="1"/>
  <c r="J20" i="1"/>
  <c r="I20" i="1"/>
  <c r="H20" i="1"/>
  <c r="G20" i="1"/>
  <c r="F20" i="1"/>
  <c r="E20" i="1"/>
  <c r="D20" i="1"/>
  <c r="C20" i="1"/>
  <c r="O13" i="1"/>
  <c r="N13" i="1"/>
  <c r="M13" i="1"/>
  <c r="L13" i="1"/>
  <c r="K13" i="1"/>
  <c r="J13" i="1"/>
  <c r="I13" i="1"/>
  <c r="H13" i="1"/>
  <c r="G13" i="1"/>
  <c r="F13" i="1"/>
  <c r="E13" i="1"/>
  <c r="D13" i="1"/>
  <c r="C13" i="1"/>
  <c r="B13" i="1"/>
  <c r="P9" i="1"/>
  <c r="O9" i="1"/>
  <c r="N9" i="1"/>
  <c r="M9" i="1"/>
  <c r="L9" i="1"/>
  <c r="K9" i="1"/>
  <c r="J9" i="1"/>
  <c r="I9" i="1"/>
  <c r="H9" i="1"/>
  <c r="G9" i="1"/>
  <c r="F9" i="1"/>
  <c r="E9" i="1"/>
  <c r="D9" i="1"/>
  <c r="C9" i="1"/>
  <c r="B9" i="1"/>
  <c r="P4" i="1"/>
  <c r="O4" i="1"/>
  <c r="N4" i="1"/>
  <c r="M4" i="1"/>
  <c r="L4" i="1"/>
  <c r="K4" i="1"/>
  <c r="J4" i="1"/>
  <c r="I4" i="1"/>
  <c r="H4" i="1"/>
  <c r="G4" i="1"/>
  <c r="F4" i="1"/>
  <c r="E4" i="1"/>
  <c r="D4" i="1"/>
  <c r="C4" i="1"/>
  <c r="X97" i="1" l="1"/>
  <c r="W19" i="1"/>
  <c r="X106" i="1"/>
  <c r="Y19" i="1" s="1"/>
  <c r="Y16" i="1"/>
  <c r="X16" i="1"/>
  <c r="W16" i="1"/>
  <c r="X103" i="1"/>
  <c r="X100" i="1" s="1"/>
  <c r="X102" i="1" l="1"/>
  <c r="X105" i="1" s="1"/>
  <c r="X108" i="1" s="1"/>
  <c r="U107" i="1" l="1"/>
  <c r="U108" i="1" s="1"/>
  <c r="R110" i="1" l="1"/>
  <c r="R113" i="1" s="1"/>
  <c r="R115" i="1" s="1"/>
  <c r="R118" i="1" s="1"/>
  <c r="R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<sst xmlns="http://schemas.openxmlformats.org/spreadsheetml/2006/main" count="565" uniqueCount="167">
  <si>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</si>
  <si>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</si>
  <si>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</si>
  <si>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</si>
  <si>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</si>
  <si>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</si>
  <si>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</si>
  <si>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</si>
  <si>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</si>
  <si>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</si>
  <si>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</si>
  <si>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</si>
  <si>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</si>
  <si>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</si>
  <si>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</si>
  <si>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</si>
  <si>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</si>
  <si>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</si>
  <si>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</si>
  <si>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</si>
  <si>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</si>
  <si>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</si>
  <si>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</si>
  <si>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</si>
  <si>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</si>
  <si>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</si>
  <si>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</si>
  <si>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</si>
  <si>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</si>
  <si>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</si>
  <si>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</si>
  <si>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</si>
  <si>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</si>
  <si>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</si>
  <si>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</si>
  <si>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</si>
  <si>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</si>
  <si>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</si>
  <si>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</si>
  <si>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</si>
  <si>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</si>
  <si>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</si>
  <si>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</si>
  <si>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</si>
  <si>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</si>
  <si>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</si>
  <si>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</si>
  <si>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</si>
  <si>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</si>
  <si>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</si>
  <si>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</si>
  <si>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</si>
  <si>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</si>
  <si>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</si>
  <si>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</si>
  <si>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</si>
  <si>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</si>
  <si>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</si>
  <si>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</si>
  <si>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</si>
  <si>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</si>
  <si>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</si>
  <si>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</si>
  <si>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</si>
  <si>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</si>
  <si>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</si>
  <si>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</si>
  <si>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</si>
  <si>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</si>
  <si>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</si>
  <si>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</si>
  <si>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</si>
  <si>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</si>
  <si>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</si>
  <si>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</si>
  <si>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</si>
  <si>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</si>
  <si>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</si>
  <si>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</si>
  <si>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</si>
  <si>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</si>
  <si>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</si>
  <si>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</si>
  <si>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</si>
  <si>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</si>
  <si>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</si>
  <si>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</si>
  <si>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</si>
  <si>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</si>
  <si>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</si>
  <si>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</si>
  <si>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</si>
  <si>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</si>
  <si>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</si>
  <si>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</si>
  <si>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</si>
  <si>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</si>
  <si>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</si>
  <si>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</si>
  <si>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</si>
  <si>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</si>
  <si>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</si>
  <si>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</si>
  <si>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</si>
  <si>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</si>
  <si>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</si>
  <si>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</si>
  <si>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</si>
  <si>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</si>
  <si>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</si>
  <si>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</si>
  <si>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</si>
  <si>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</si>
  <si>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</si>
  <si>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</si>
  <si>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</si>
  <si>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</si>
  <si>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</si>
  <si>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</si>
  <si>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</si>
  <si>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</si>
  <si>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</si>
  <si>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</si>
  <si>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</si>
  <si>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</si>
  <si>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</si>
  <si>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</si>
  <si>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</si>
  <si>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</si>
  <si>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</si>
  <si>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</si>
  <si>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</si>
  <si>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</si>
  <si>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</si>
  <si>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</si>
  <si>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</si>
  <si>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</si>
  <si>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</si>
  <si>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</si>
  <si>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</si>
  <si>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</si>
  <si>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</si>
  <si>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</si>
  <si>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</si>
  <si>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</si>
  <si>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</si>
  <si>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</si>
  <si>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</si>
  <si>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</si>
  <si>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</si>
  <si>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</si>
  <si>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</si>
  <si>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</si>
  <si>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</si>
  <si>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</si>
  <si>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</si>
  <si>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</si>
  <si>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Forward P/FCF</t>
  </si>
  <si>
    <t>Forward P/E</t>
  </si>
  <si>
    <t>Forward P/S</t>
  </si>
  <si>
    <t>Levered FCF</t>
  </si>
  <si>
    <t>Unlevered FCF</t>
  </si>
  <si>
    <t>Unlevered FCF Proj</t>
  </si>
  <si>
    <t>Unlevered FCF Forecast</t>
  </si>
  <si>
    <t>Shares</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</si>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</sst>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1"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3" fillId="0" borderId="2" xfId="0" applyNumberFormat="1" applyFont="1" applyBorder="1"/>
    <xf numFmtId="165" fontId="10" fillId="0" borderId="0" xfId="0" applyNumberFormat="1" applyFont="1"/>
    <xf numFmtId="164" fontId="13" fillId="0" borderId="3" xfId="0" applyNumberFormat="1" applyFont="1" applyBorder="1"/>
    <xf numFmtId="166" fontId="10" fillId="0" borderId="0" xfId="0" applyNumberFormat="1" applyFont="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0" fontId="1" fillId="0" borderId="0" xfId="0" applyFont="1" applyAlignment="1">
      <alignment indent="1"/>
    </xf>
    <xf numFmtId="164" fontId="10" fillId="7" borderId="0" xfId="0" applyNumberFormat="1" applyFont="1" applyFill="1"/>
    <xf numFmtId="164" fontId="1"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12" fillId="4" borderId="7" xfId="0" applyFont="1" applyFill="1" applyBorder="1" applyAlignment="1">
      <alignment horizontal="center" vertical="center" wrapText="1"/>
    </xf>
    <xf numFmtId="171" fontId="11" fillId="0" borderId="5" xfId="0" applyNumberFormat="1" applyFont="1" applyBorder="1" applyAlignment="1">
      <alignment horizontal="center"/>
    </xf>
    <xf numFmtId="171" fontId="11" fillId="0" borderId="8"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ENPH</a:t>
            </a:r>
          </a:p>
        </c:rich>
      </c:tx>
      <c:layout>
        <c:manualLayout>
          <c:xMode val="edge"/>
          <c:yMode val="edge"/>
          <c:x val="0.4593178286489023"/>
          <c:y val="3.162055638772585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90728476821192E-2"/>
          <c:y val="0.1423654742595073"/>
          <c:w val="0.86976158940397341"/>
          <c:h val="0.70227972528612193"/>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1'!$C$3:$P$3</c:f>
              <c:numCache>
                <c:formatCode>#,###,,;\(#,###,,\);\ \-\ \-</c:formatCode>
                <c:ptCount val="14"/>
                <c:pt idx="0">
                  <c:v>20194000</c:v>
                </c:pt>
                <c:pt idx="1">
                  <c:v>61661000</c:v>
                </c:pt>
                <c:pt idx="2">
                  <c:v>149523000</c:v>
                </c:pt>
                <c:pt idx="3">
                  <c:v>216678000</c:v>
                </c:pt>
                <c:pt idx="4">
                  <c:v>232846000</c:v>
                </c:pt>
                <c:pt idx="5">
                  <c:v>343904000</c:v>
                </c:pt>
                <c:pt idx="6">
                  <c:v>357249000</c:v>
                </c:pt>
                <c:pt idx="7">
                  <c:v>322591000</c:v>
                </c:pt>
                <c:pt idx="8">
                  <c:v>286166000</c:v>
                </c:pt>
                <c:pt idx="9">
                  <c:v>316159000</c:v>
                </c:pt>
                <c:pt idx="10">
                  <c:v>624333000</c:v>
                </c:pt>
                <c:pt idx="11">
                  <c:v>774425000</c:v>
                </c:pt>
                <c:pt idx="12">
                  <c:v>1382049000</c:v>
                </c:pt>
                <c:pt idx="13">
                  <c:v>2330853000</c:v>
                </c:pt>
              </c:numCache>
            </c:numRef>
          </c:val>
          <c:extLst>
            <c:ext xmlns:c16="http://schemas.microsoft.com/office/drawing/2014/chart" uri="{C3380CC4-5D6E-409C-BE32-E72D297353CC}">
              <c16:uniqueId val="{00000000-6406-5847-AB1A-297AEF9C7FAC}"/>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1'!$C$19:$P$19</c:f>
              <c:numCache>
                <c:formatCode>#,###,,;\(#,###,,\);\ \-\ \-</c:formatCode>
                <c:ptCount val="14"/>
                <c:pt idx="0">
                  <c:v>-15766000</c:v>
                </c:pt>
                <c:pt idx="1">
                  <c:v>-19313000</c:v>
                </c:pt>
                <c:pt idx="2">
                  <c:v>-26252000</c:v>
                </c:pt>
                <c:pt idx="3">
                  <c:v>-25563000</c:v>
                </c:pt>
                <c:pt idx="4">
                  <c:v>-16014000</c:v>
                </c:pt>
                <c:pt idx="5">
                  <c:v>2836000</c:v>
                </c:pt>
                <c:pt idx="6">
                  <c:v>-9663000</c:v>
                </c:pt>
                <c:pt idx="7">
                  <c:v>-52576000</c:v>
                </c:pt>
                <c:pt idx="8">
                  <c:v>-28401000</c:v>
                </c:pt>
                <c:pt idx="9">
                  <c:v>9073000</c:v>
                </c:pt>
                <c:pt idx="10">
                  <c:v>113924000</c:v>
                </c:pt>
                <c:pt idx="11">
                  <c:v>158514000</c:v>
                </c:pt>
                <c:pt idx="12">
                  <c:v>198519000</c:v>
                </c:pt>
                <c:pt idx="13">
                  <c:v>517629000</c:v>
                </c:pt>
              </c:numCache>
            </c:numRef>
          </c:val>
          <c:extLst>
            <c:ext xmlns:c16="http://schemas.microsoft.com/office/drawing/2014/chart" uri="{C3380CC4-5D6E-409C-BE32-E72D297353CC}">
              <c16:uniqueId val="{00000001-6406-5847-AB1A-297AEF9C7FAC}"/>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1'!$C$107:$P$107</c:f>
              <c:numCache>
                <c:formatCode>#,###,,;\(#,###,,\);\ \-\ \-</c:formatCode>
                <c:ptCount val="14"/>
                <c:pt idx="0">
                  <c:v>-21057000</c:v>
                </c:pt>
                <c:pt idx="1">
                  <c:v>-21114000</c:v>
                </c:pt>
                <c:pt idx="2">
                  <c:v>-15029000</c:v>
                </c:pt>
                <c:pt idx="3">
                  <c:v>-57635000</c:v>
                </c:pt>
                <c:pt idx="4">
                  <c:v>-7129000</c:v>
                </c:pt>
                <c:pt idx="5">
                  <c:v>10223000</c:v>
                </c:pt>
                <c:pt idx="6">
                  <c:v>-33922000</c:v>
                </c:pt>
                <c:pt idx="7">
                  <c:v>-45798000</c:v>
                </c:pt>
                <c:pt idx="8">
                  <c:v>-32563000</c:v>
                </c:pt>
                <c:pt idx="9">
                  <c:v>11981000</c:v>
                </c:pt>
                <c:pt idx="10">
                  <c:v>124279000</c:v>
                </c:pt>
                <c:pt idx="11">
                  <c:v>195776000</c:v>
                </c:pt>
                <c:pt idx="12">
                  <c:v>299520000</c:v>
                </c:pt>
                <c:pt idx="13">
                  <c:v>698374000</c:v>
                </c:pt>
              </c:numCache>
            </c:numRef>
          </c:val>
          <c:extLst>
            <c:ext xmlns:c16="http://schemas.microsoft.com/office/drawing/2014/chart" uri="{C3380CC4-5D6E-409C-BE32-E72D297353CC}">
              <c16:uniqueId val="{00000002-6406-5847-AB1A-297AEF9C7FAC}"/>
            </c:ext>
          </c:extLst>
        </c:ser>
        <c:dLbls>
          <c:showLegendKey val="0"/>
          <c:showVal val="0"/>
          <c:showCatName val="0"/>
          <c:showSerName val="0"/>
          <c:showPercent val="0"/>
          <c:showBubbleSize val="0"/>
        </c:dLbls>
        <c:gapWidth val="100"/>
        <c:overlap val="-24"/>
        <c:axId val="1543126608"/>
        <c:axId val="1543128816"/>
      </c:barChart>
      <c:catAx>
        <c:axId val="154312660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43128816"/>
        <c:crosses val="autoZero"/>
        <c:auto val="1"/>
        <c:lblAlgn val="ctr"/>
        <c:lblOffset val="100"/>
        <c:noMultiLvlLbl val="0"/>
      </c:catAx>
      <c:valAx>
        <c:axId val="154312881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43126608"/>
        <c:crosses val="autoZero"/>
        <c:crossBetween val="between"/>
      </c:valAx>
      <c:spPr>
        <a:noFill/>
        <a:ln>
          <a:noFill/>
        </a:ln>
        <a:effectLst/>
      </c:spPr>
    </c:plotArea>
    <c:legend>
      <c:legendPos val="b"/>
      <c:layout>
        <c:manualLayout>
          <c:xMode val="edge"/>
          <c:yMode val="edge"/>
          <c:x val="0.31775303749282996"/>
          <c:y val="0.91851989748887586"/>
          <c:w val="0.36449392501434008"/>
          <c:h val="4.98595461233983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18</xdr:col>
      <xdr:colOff>31750</xdr:colOff>
      <xdr:row>108</xdr:row>
      <xdr:rowOff>17462</xdr:rowOff>
    </xdr:from>
    <xdr:to>
      <xdr:col>24</xdr:col>
      <xdr:colOff>0</xdr:colOff>
      <xdr:row>131</xdr:row>
      <xdr:rowOff>31749</xdr:rowOff>
    </xdr:to>
    <xdr:graphicFrame macro="">
      <xdr:nvGraphicFramePr>
        <xdr:cNvPr id="2" name="Chart 1">
          <a:extLst>
            <a:ext uri="{FF2B5EF4-FFF2-40B4-BE49-F238E27FC236}">
              <a16:creationId xmlns:a16="http://schemas.microsoft.com/office/drawing/2014/main" id="{F6F07D53-16BD-1138-B33B-B17FE9ECF6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3.739E-2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https://www.bing.com/financeapi/forcetrigger?t=a1rzh7&amp;q=XNAS%3aENPH&amp;form=skydnc</v>
    <v>Learn more on Bing</v>
  </rv>
  <rv s="1">
    <v>0</v>
    <v>ENPHASE ENERGY, INC. (XNAS:ENPH)</v>
    <v>2</v>
    <v>3</v>
    <v>Finance</v>
    <v>4</v>
    <v>en-US</v>
    <v>a1rzh7</v>
    <v>268435456</v>
    <v>1</v>
    <v>Powered by Refinitiv</v>
    <v>339.92</v>
    <v>152.15</v>
    <v>1.4594</v>
    <v>0.52</v>
    <v>3.277E-3</v>
    <v>-0.08</v>
    <v>-5.0250000000000002E-4</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162.56</v>
    <v>Renewable Energy</v>
    <v>Stock</v>
    <v>45103.936809560153</v>
    <v>0</v>
    <v>158.22999999999999</v>
    <v>21818727477</v>
    <v>ENPHASE ENERGY, INC.</v>
    <v>ENPHASE ENERGY, INC.</v>
    <v>159.18</v>
    <v>46.869300000000003</v>
    <v>158.69</v>
    <v>159.21</v>
    <v>159.13</v>
    <v>137043700</v>
    <v>ENPH</v>
    <v>ENPHASE ENERGY, INC. (XNAS:ENPH)</v>
    <v>2767986</v>
    <v>3233161</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463101/000146310114000007/0001463101-14-000007-index.htm" TargetMode="External"/><Relationship Id="rId18" Type="http://schemas.openxmlformats.org/officeDocument/2006/relationships/hyperlink" Target="https://www.sec.gov/Archives/edgar/data/1463101/000146310117000024/0001463101-17-000024-index.htm" TargetMode="External"/><Relationship Id="rId26" Type="http://schemas.openxmlformats.org/officeDocument/2006/relationships/hyperlink" Target="https://www.sec.gov/Archives/edgar/data/1463101/000146310121000016/0001463101-21-000016-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463101/000146310118000030/0001463101-18-000030-index.htm" TargetMode="External"/><Relationship Id="rId34" Type="http://schemas.openxmlformats.org/officeDocument/2006/relationships/drawing" Target="../drawings/drawing1.xml"/><Relationship Id="rId7" Type="http://schemas.openxmlformats.org/officeDocument/2006/relationships/hyperlink" Target="https://sec.gov/" TargetMode="External"/><Relationship Id="rId12" Type="http://schemas.openxmlformats.org/officeDocument/2006/relationships/hyperlink" Target="https://www.sec.gov/Archives/edgar/data/1463101/000146310114000007/0001463101-14-000007-index.htm" TargetMode="External"/><Relationship Id="rId17" Type="http://schemas.openxmlformats.org/officeDocument/2006/relationships/hyperlink" Target="https://www.sec.gov/Archives/edgar/data/1463101/000146310116000040/0001463101-16-000040-index.htm" TargetMode="External"/><Relationship Id="rId25" Type="http://schemas.openxmlformats.org/officeDocument/2006/relationships/hyperlink" Target="https://www.sec.gov/Archives/edgar/data/1463101/000146310120000021/0001463101-20-000021-index.htm" TargetMode="External"/><Relationship Id="rId33" Type="http://schemas.openxmlformats.org/officeDocument/2006/relationships/hyperlink" Target="https://finbox.com/NASDAQGM:ENPH/explorer/fcf_unlev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63101/000146310116000040/0001463101-16-000040-index.htm" TargetMode="External"/><Relationship Id="rId20" Type="http://schemas.openxmlformats.org/officeDocument/2006/relationships/hyperlink" Target="https://www.sec.gov/Archives/edgar/data/1463101/000146310118000030/0001463101-18-000030-index.htm" TargetMode="External"/><Relationship Id="rId29" Type="http://schemas.openxmlformats.org/officeDocument/2006/relationships/hyperlink" Target="https://www.sec.gov/Archives/edgar/data/1463101/000146310122000016/0001463101-22-000016-index.htm" TargetMode="External"/><Relationship Id="rId1" Type="http://schemas.openxmlformats.org/officeDocument/2006/relationships/hyperlink" Target="https://roic.ai/company/ENPH"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63101/000144530513000492/0001445305-13-000492-index.htm" TargetMode="External"/><Relationship Id="rId24" Type="http://schemas.openxmlformats.org/officeDocument/2006/relationships/hyperlink" Target="https://www.sec.gov/Archives/edgar/data/1463101/000146310120000021/0001463101-20-000021-index.htm" TargetMode="External"/><Relationship Id="rId32" Type="http://schemas.openxmlformats.org/officeDocument/2006/relationships/hyperlink" Target="https://finbox.com/NASDAQGM:ENPH/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63101/000146310115000017/0001463101-15-000017-index.htm" TargetMode="External"/><Relationship Id="rId23" Type="http://schemas.openxmlformats.org/officeDocument/2006/relationships/hyperlink" Target="https://www.sec.gov/Archives/edgar/data/1463101/000146310119000033/0001463101-19-000033-index.htm" TargetMode="External"/><Relationship Id="rId28" Type="http://schemas.openxmlformats.org/officeDocument/2006/relationships/hyperlink" Target="https://www.sec.gov/Archives/edgar/data/1463101/000146310122000016/0001463101-22-000016-index.htm" TargetMode="External"/><Relationship Id="rId10" Type="http://schemas.openxmlformats.org/officeDocument/2006/relationships/hyperlink" Target="https://www.sec.gov/Archives/edgar/data/1463101/000144530513000492/0001445305-13-000492-index.htm" TargetMode="External"/><Relationship Id="rId19" Type="http://schemas.openxmlformats.org/officeDocument/2006/relationships/hyperlink" Target="https://www.sec.gov/Archives/edgar/data/1463101/000146310117000024/0001463101-17-000024-index.htm" TargetMode="External"/><Relationship Id="rId31" Type="http://schemas.openxmlformats.org/officeDocument/2006/relationships/hyperlink" Target="https://www.sec.gov/Archives/edgar/data/1463101/000146310123000025/0001463101-23-000025-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463101/000146310115000017/0001463101-15-000017-index.htm" TargetMode="External"/><Relationship Id="rId22" Type="http://schemas.openxmlformats.org/officeDocument/2006/relationships/hyperlink" Target="https://www.sec.gov/Archives/edgar/data/1463101/000146310119000033/0001463101-19-000033-index.htm" TargetMode="External"/><Relationship Id="rId27" Type="http://schemas.openxmlformats.org/officeDocument/2006/relationships/hyperlink" Target="https://www.sec.gov/Archives/edgar/data/1463101/000146310121000016/0001463101-21-000016-index.htm" TargetMode="External"/><Relationship Id="rId30" Type="http://schemas.openxmlformats.org/officeDocument/2006/relationships/hyperlink" Target="https://www.sec.gov/Archives/edgar/data/1463101/000146310123000025/0001463101-23-000025-index.htm" TargetMode="Externa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8"/>
  <sheetViews>
    <sheetView tabSelected="1" zoomScale="80" zoomScaleNormal="80" workbookViewId="0">
      <pane xSplit="1" ySplit="1" topLeftCell="M88" activePane="bottomRight" state="frozen"/>
      <selection pane="topRight"/>
      <selection pane="bottomLeft"/>
      <selection pane="bottomRight" activeCell="T100" sqref="T100"/>
    </sheetView>
  </sheetViews>
  <sheetFormatPr baseColWidth="10" defaultRowHeight="16" x14ac:dyDescent="0.2"/>
  <cols>
    <col min="1" max="1" width="50" customWidth="1"/>
    <col min="2" max="16" width="15" customWidth="1"/>
    <col min="17" max="25" width="21" customWidth="1"/>
  </cols>
  <sheetData>
    <row r="1" spans="1:25" ht="22" thickBot="1" x14ac:dyDescent="0.3">
      <c r="A1" s="3" t="e" vm="1">
        <v>#VALUE!</v>
      </c>
      <c r="B1" s="8">
        <v>2008</v>
      </c>
      <c r="C1" s="8">
        <v>2009</v>
      </c>
      <c r="D1" s="8">
        <v>2010</v>
      </c>
      <c r="E1" s="8">
        <v>2011</v>
      </c>
      <c r="F1" s="8">
        <v>2012</v>
      </c>
      <c r="G1" s="8">
        <v>2013</v>
      </c>
      <c r="H1" s="8">
        <v>2014</v>
      </c>
      <c r="I1" s="8">
        <v>2015</v>
      </c>
      <c r="J1" s="8">
        <v>2016</v>
      </c>
      <c r="K1" s="8">
        <v>2017</v>
      </c>
      <c r="L1" s="8">
        <v>2018</v>
      </c>
      <c r="M1" s="8">
        <v>2019</v>
      </c>
      <c r="N1" s="8">
        <v>2020</v>
      </c>
      <c r="O1" s="8">
        <v>2021</v>
      </c>
      <c r="P1" s="8">
        <v>2022</v>
      </c>
      <c r="Q1" s="27">
        <v>2023</v>
      </c>
      <c r="R1" s="27">
        <v>2024</v>
      </c>
      <c r="S1" s="27">
        <v>2025</v>
      </c>
      <c r="T1" s="27">
        <v>2026</v>
      </c>
      <c r="U1" s="27">
        <v>2027</v>
      </c>
    </row>
    <row r="2" spans="1:25"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c r="U2" s="9"/>
      <c r="V2" s="9"/>
      <c r="W2" s="9"/>
      <c r="X2" s="9"/>
      <c r="Y2" s="9"/>
    </row>
    <row r="3" spans="1:25" ht="40" x14ac:dyDescent="0.25">
      <c r="A3" s="5" t="s">
        <v>1</v>
      </c>
      <c r="B3" s="1" t="s">
        <v>91</v>
      </c>
      <c r="C3" s="1">
        <v>20194000</v>
      </c>
      <c r="D3" s="1">
        <v>61661000</v>
      </c>
      <c r="E3" s="1">
        <v>149523000</v>
      </c>
      <c r="F3" s="1">
        <v>216678000</v>
      </c>
      <c r="G3" s="1">
        <v>232846000</v>
      </c>
      <c r="H3" s="1">
        <v>343904000</v>
      </c>
      <c r="I3" s="1">
        <v>357249000</v>
      </c>
      <c r="J3" s="1">
        <v>322591000</v>
      </c>
      <c r="K3" s="1">
        <v>286166000</v>
      </c>
      <c r="L3" s="1">
        <v>316159000</v>
      </c>
      <c r="M3" s="1">
        <v>624333000</v>
      </c>
      <c r="N3" s="1">
        <v>774425000</v>
      </c>
      <c r="O3" s="1">
        <v>1382049000</v>
      </c>
      <c r="P3" s="1">
        <v>2330853000</v>
      </c>
      <c r="Q3" s="28">
        <v>3056000000</v>
      </c>
      <c r="R3" s="28">
        <v>3802000000</v>
      </c>
      <c r="S3" s="28">
        <v>4726000000</v>
      </c>
      <c r="T3" s="28">
        <v>5269000000</v>
      </c>
      <c r="U3" s="28">
        <v>5686000000</v>
      </c>
      <c r="V3" s="18" t="s">
        <v>108</v>
      </c>
      <c r="W3" s="19" t="s">
        <v>109</v>
      </c>
      <c r="X3" s="19" t="s">
        <v>110</v>
      </c>
      <c r="Y3" s="19" t="s">
        <v>111</v>
      </c>
    </row>
    <row r="4" spans="1:25" ht="19" x14ac:dyDescent="0.25">
      <c r="A4" s="14" t="s">
        <v>93</v>
      </c>
      <c r="B4" s="1"/>
      <c r="C4" s="15" t="e">
        <f>(C3/B3)-1</f>
        <v>#VALUE!</v>
      </c>
      <c r="D4" s="15">
        <f>(D3/C3)-1</f>
        <v>2.0534317123898189</v>
      </c>
      <c r="E4" s="15">
        <f>(E3/D3)-1</f>
        <v>1.4249201277955272</v>
      </c>
      <c r="F4" s="15">
        <f t="shared" ref="F4:U4" si="0">(F3/E3)-1</f>
        <v>0.44912822776429051</v>
      </c>
      <c r="G4" s="15">
        <f t="shared" si="0"/>
        <v>7.4617635385225922E-2</v>
      </c>
      <c r="H4" s="16">
        <f t="shared" si="0"/>
        <v>0.47695902012488944</v>
      </c>
      <c r="I4" s="16">
        <f t="shared" si="0"/>
        <v>3.8804433795477822E-2</v>
      </c>
      <c r="J4" s="16">
        <f t="shared" si="0"/>
        <v>-9.7013567567718839E-2</v>
      </c>
      <c r="K4" s="16">
        <f t="shared" si="0"/>
        <v>-0.11291387546459764</v>
      </c>
      <c r="L4" s="16">
        <f t="shared" si="0"/>
        <v>0.10480979571297788</v>
      </c>
      <c r="M4" s="16">
        <f t="shared" si="0"/>
        <v>0.97474372072280091</v>
      </c>
      <c r="N4" s="16">
        <f t="shared" si="0"/>
        <v>0.24040375889148891</v>
      </c>
      <c r="O4" s="16">
        <f t="shared" si="0"/>
        <v>0.78461310004196672</v>
      </c>
      <c r="P4" s="16">
        <f t="shared" si="0"/>
        <v>0.68651979777851579</v>
      </c>
      <c r="Q4" s="16">
        <f t="shared" si="0"/>
        <v>0.31110799351138829</v>
      </c>
      <c r="R4" s="16">
        <f t="shared" si="0"/>
        <v>0.24410994764397898</v>
      </c>
      <c r="S4" s="16">
        <f t="shared" si="0"/>
        <v>0.24302998421883215</v>
      </c>
      <c r="T4" s="16">
        <f t="shared" si="0"/>
        <v>0.11489631823952595</v>
      </c>
      <c r="U4" s="16">
        <f t="shared" si="0"/>
        <v>7.9142152211045813E-2</v>
      </c>
      <c r="V4" s="17">
        <f>(P4+O4+N4)/3</f>
        <v>0.57051221890399051</v>
      </c>
      <c r="W4" s="17">
        <f>(P20+O20+N20)/3</f>
        <v>0.75040988682399357</v>
      </c>
      <c r="X4" s="17">
        <f>(P29+O29+N29)/3</f>
        <v>0.5496504752657444</v>
      </c>
      <c r="Y4" s="17">
        <f>(P106+O106+N106)/3</f>
        <v>0.81228333234821071</v>
      </c>
    </row>
    <row r="5" spans="1:25" ht="19" x14ac:dyDescent="0.25">
      <c r="A5" s="5" t="s">
        <v>2</v>
      </c>
      <c r="B5" s="1" t="s">
        <v>91</v>
      </c>
      <c r="C5" s="1">
        <v>23223000</v>
      </c>
      <c r="D5" s="1">
        <v>55159000</v>
      </c>
      <c r="E5" s="1">
        <v>120454000</v>
      </c>
      <c r="F5" s="1">
        <v>161390000</v>
      </c>
      <c r="G5" s="1">
        <v>165430000</v>
      </c>
      <c r="H5" s="1">
        <v>230861000</v>
      </c>
      <c r="I5" s="1">
        <v>249032000</v>
      </c>
      <c r="J5" s="1">
        <v>264583000</v>
      </c>
      <c r="K5" s="1">
        <v>230123000</v>
      </c>
      <c r="L5" s="1">
        <v>221714000</v>
      </c>
      <c r="M5" s="1">
        <v>403088000</v>
      </c>
      <c r="N5" s="1">
        <v>428444000</v>
      </c>
      <c r="O5" s="1">
        <v>827627000</v>
      </c>
      <c r="P5" s="1">
        <v>1356258000</v>
      </c>
    </row>
    <row r="6" spans="1:25" ht="20" x14ac:dyDescent="0.25">
      <c r="A6" s="6" t="s">
        <v>3</v>
      </c>
      <c r="B6" s="10" t="s">
        <v>91</v>
      </c>
      <c r="C6" s="10">
        <v>-3029000</v>
      </c>
      <c r="D6" s="10">
        <v>6502000</v>
      </c>
      <c r="E6" s="10">
        <v>29069000</v>
      </c>
      <c r="F6" s="10">
        <v>55288000</v>
      </c>
      <c r="G6" s="10">
        <v>67416000</v>
      </c>
      <c r="H6" s="10">
        <v>113043000</v>
      </c>
      <c r="I6" s="10">
        <v>108217000</v>
      </c>
      <c r="J6" s="10">
        <v>58008000</v>
      </c>
      <c r="K6" s="10">
        <v>56043000</v>
      </c>
      <c r="L6" s="10">
        <v>94445000</v>
      </c>
      <c r="M6" s="10">
        <v>221245000</v>
      </c>
      <c r="N6" s="10">
        <v>345981000</v>
      </c>
      <c r="O6" s="10">
        <v>554422000</v>
      </c>
      <c r="P6" s="10">
        <v>974595000</v>
      </c>
      <c r="V6" s="18" t="s">
        <v>112</v>
      </c>
      <c r="W6" s="19" t="s">
        <v>113</v>
      </c>
      <c r="X6" s="19" t="s">
        <v>114</v>
      </c>
      <c r="Y6" s="19" t="s">
        <v>115</v>
      </c>
    </row>
    <row r="7" spans="1:25" ht="19" x14ac:dyDescent="0.25">
      <c r="A7" s="5" t="s">
        <v>4</v>
      </c>
      <c r="B7" s="2" t="s">
        <v>91</v>
      </c>
      <c r="C7" s="2">
        <v>-0.15</v>
      </c>
      <c r="D7" s="2">
        <v>0.10539999999999999</v>
      </c>
      <c r="E7" s="2">
        <v>0.19439999999999999</v>
      </c>
      <c r="F7" s="2">
        <v>0.25519999999999998</v>
      </c>
      <c r="G7" s="2">
        <v>0.28949999999999998</v>
      </c>
      <c r="H7" s="2">
        <v>0.32869999999999999</v>
      </c>
      <c r="I7" s="2">
        <v>0.3029</v>
      </c>
      <c r="J7" s="2">
        <v>0.17979999999999999</v>
      </c>
      <c r="K7" s="2">
        <v>0.1958</v>
      </c>
      <c r="L7" s="2">
        <v>0.29870000000000002</v>
      </c>
      <c r="M7" s="2">
        <v>0.35439999999999999</v>
      </c>
      <c r="N7" s="2">
        <v>0.44679999999999997</v>
      </c>
      <c r="O7" s="2">
        <v>0.4012</v>
      </c>
      <c r="P7" s="2">
        <v>0.41810000000000003</v>
      </c>
      <c r="V7" s="17">
        <f>P7</f>
        <v>0.41810000000000003</v>
      </c>
      <c r="W7" s="20">
        <f>P21</f>
        <v>0.22209999999999999</v>
      </c>
      <c r="X7" s="20">
        <f>P30</f>
        <v>0.17050000000000001</v>
      </c>
      <c r="Y7" s="20">
        <f>P107/P3</f>
        <v>0.2996216406611657</v>
      </c>
    </row>
    <row r="8" spans="1:25" ht="19" x14ac:dyDescent="0.25">
      <c r="A8" s="5" t="s">
        <v>5</v>
      </c>
      <c r="B8" s="1" t="s">
        <v>91</v>
      </c>
      <c r="C8" s="1">
        <v>8411000</v>
      </c>
      <c r="D8" s="1">
        <v>14296000</v>
      </c>
      <c r="E8" s="1">
        <v>25099000</v>
      </c>
      <c r="F8" s="1">
        <v>35601000</v>
      </c>
      <c r="G8" s="1">
        <v>34524000</v>
      </c>
      <c r="H8" s="1">
        <v>45386000</v>
      </c>
      <c r="I8" s="1">
        <v>50819000</v>
      </c>
      <c r="J8" s="1">
        <v>50703000</v>
      </c>
      <c r="K8" s="1">
        <v>33157000</v>
      </c>
      <c r="L8" s="1">
        <v>32587000</v>
      </c>
      <c r="M8" s="1">
        <v>40381000</v>
      </c>
      <c r="N8" s="1">
        <v>55921000</v>
      </c>
      <c r="O8" s="1">
        <v>105526000</v>
      </c>
      <c r="P8" s="1">
        <v>168846000</v>
      </c>
    </row>
    <row r="9" spans="1:25" ht="19" customHeight="1" x14ac:dyDescent="0.25">
      <c r="A9" s="14" t="s">
        <v>94</v>
      </c>
      <c r="B9" s="15" t="e">
        <f>B8/B3</f>
        <v>#VALUE!</v>
      </c>
      <c r="C9" s="15">
        <f t="shared" ref="C9:P9" si="1">C8/C3</f>
        <v>0.41650985441220162</v>
      </c>
      <c r="D9" s="15">
        <f t="shared" si="1"/>
        <v>0.2318483320088873</v>
      </c>
      <c r="E9" s="15">
        <f t="shared" si="1"/>
        <v>0.1678604629388121</v>
      </c>
      <c r="F9" s="15">
        <f t="shared" si="1"/>
        <v>0.16430371334422508</v>
      </c>
      <c r="G9" s="15">
        <f t="shared" si="1"/>
        <v>0.14826967180024567</v>
      </c>
      <c r="H9" s="15">
        <f t="shared" si="1"/>
        <v>0.13197287615148415</v>
      </c>
      <c r="I9" s="15">
        <f t="shared" si="1"/>
        <v>0.14225092302567677</v>
      </c>
      <c r="J9" s="15">
        <f t="shared" si="1"/>
        <v>0.15717425470642393</v>
      </c>
      <c r="K9" s="15">
        <f t="shared" si="1"/>
        <v>0.11586631535542308</v>
      </c>
      <c r="L9" s="15">
        <f t="shared" si="1"/>
        <v>0.10307155576782569</v>
      </c>
      <c r="M9" s="15">
        <f t="shared" si="1"/>
        <v>6.467862502863056E-2</v>
      </c>
      <c r="N9" s="15">
        <f t="shared" si="1"/>
        <v>7.2209703973916128E-2</v>
      </c>
      <c r="O9" s="15">
        <f t="shared" si="1"/>
        <v>7.6354745743457728E-2</v>
      </c>
      <c r="P9" s="15">
        <f t="shared" si="1"/>
        <v>7.2439574696473774E-2</v>
      </c>
      <c r="V9" s="18" t="s">
        <v>95</v>
      </c>
      <c r="W9" s="19" t="s">
        <v>96</v>
      </c>
      <c r="X9" s="19" t="s">
        <v>97</v>
      </c>
      <c r="Y9" s="19" t="s">
        <v>98</v>
      </c>
    </row>
    <row r="10" spans="1:25" ht="19" x14ac:dyDescent="0.25">
      <c r="A10" s="5" t="s">
        <v>6</v>
      </c>
      <c r="B10" s="1" t="s">
        <v>91</v>
      </c>
      <c r="C10" s="1">
        <v>2603000</v>
      </c>
      <c r="D10" s="1">
        <v>6365000</v>
      </c>
      <c r="E10" s="1">
        <v>15228000</v>
      </c>
      <c r="F10" s="1">
        <v>24875000</v>
      </c>
      <c r="G10" s="1">
        <v>23970000</v>
      </c>
      <c r="H10" s="1">
        <v>31083000</v>
      </c>
      <c r="I10" s="1">
        <v>30830000</v>
      </c>
      <c r="J10" s="1">
        <v>27418000</v>
      </c>
      <c r="K10" s="1">
        <v>22221000</v>
      </c>
      <c r="L10" s="1">
        <v>29086000</v>
      </c>
      <c r="M10" s="1">
        <v>38808000</v>
      </c>
      <c r="N10" s="1">
        <v>50694000</v>
      </c>
      <c r="O10" s="1">
        <v>104090000</v>
      </c>
      <c r="P10" s="1">
        <v>140002000</v>
      </c>
      <c r="V10" s="17">
        <f>P9</f>
        <v>7.2439574696473774E-2</v>
      </c>
      <c r="W10" s="20">
        <f>P13</f>
        <v>0.15234937595807199</v>
      </c>
      <c r="X10" s="20">
        <f>P80</f>
        <v>9.3014016756955503E-2</v>
      </c>
      <c r="Y10" s="20">
        <f>P89</f>
        <v>1.9925323475997844E-2</v>
      </c>
    </row>
    <row r="11" spans="1:25" ht="19" x14ac:dyDescent="0.25">
      <c r="A11" s="5" t="s">
        <v>7</v>
      </c>
      <c r="B11" s="1" t="s">
        <v>91</v>
      </c>
      <c r="C11" s="1">
        <v>2651000</v>
      </c>
      <c r="D11" s="1">
        <v>6558000</v>
      </c>
      <c r="E11" s="1">
        <v>17454000</v>
      </c>
      <c r="F11" s="1">
        <v>25973000</v>
      </c>
      <c r="G11" s="1">
        <v>31080000</v>
      </c>
      <c r="H11" s="1">
        <v>41003000</v>
      </c>
      <c r="I11" s="1">
        <v>45877000</v>
      </c>
      <c r="J11" s="1">
        <v>38810000</v>
      </c>
      <c r="K11" s="1">
        <v>23126000</v>
      </c>
      <c r="L11" s="1">
        <v>27047000</v>
      </c>
      <c r="M11" s="1">
        <v>36728000</v>
      </c>
      <c r="N11" s="1">
        <v>52927000</v>
      </c>
      <c r="O11" s="1">
        <v>128974000</v>
      </c>
      <c r="P11" s="1">
        <v>215102000</v>
      </c>
    </row>
    <row r="12" spans="1:25" ht="20" x14ac:dyDescent="0.25">
      <c r="A12" s="5" t="s">
        <v>8</v>
      </c>
      <c r="B12" s="1" t="s">
        <v>91</v>
      </c>
      <c r="C12" s="1">
        <v>5254000</v>
      </c>
      <c r="D12" s="1">
        <v>12923000</v>
      </c>
      <c r="E12" s="1">
        <v>32682000</v>
      </c>
      <c r="F12" s="1">
        <v>50848000</v>
      </c>
      <c r="G12" s="1">
        <v>55050000</v>
      </c>
      <c r="H12" s="1">
        <v>72086000</v>
      </c>
      <c r="I12" s="1">
        <v>76707000</v>
      </c>
      <c r="J12" s="1">
        <v>66228000</v>
      </c>
      <c r="K12" s="1">
        <v>45347000</v>
      </c>
      <c r="L12" s="1">
        <v>56133000</v>
      </c>
      <c r="M12" s="1">
        <v>75536000</v>
      </c>
      <c r="N12" s="1">
        <v>103621000</v>
      </c>
      <c r="O12" s="1">
        <v>233064000</v>
      </c>
      <c r="P12" s="1">
        <v>355104000</v>
      </c>
      <c r="V12" s="18" t="s">
        <v>116</v>
      </c>
      <c r="W12" s="19" t="s">
        <v>117</v>
      </c>
      <c r="X12" s="19" t="s">
        <v>118</v>
      </c>
      <c r="Y12" s="19" t="s">
        <v>119</v>
      </c>
    </row>
    <row r="13" spans="1:25" ht="19" x14ac:dyDescent="0.25">
      <c r="A13" s="14" t="s">
        <v>99</v>
      </c>
      <c r="B13" s="15" t="e">
        <f>B12/B3</f>
        <v>#VALUE!</v>
      </c>
      <c r="C13" s="15">
        <f t="shared" ref="C13:P13" si="2">C12/C3</f>
        <v>0.26017628998712489</v>
      </c>
      <c r="D13" s="15">
        <f t="shared" si="2"/>
        <v>0.20958142099544283</v>
      </c>
      <c r="E13" s="15">
        <f t="shared" si="2"/>
        <v>0.21857506871852492</v>
      </c>
      <c r="F13" s="15">
        <f t="shared" si="2"/>
        <v>0.23467080183498093</v>
      </c>
      <c r="G13" s="15">
        <f t="shared" si="2"/>
        <v>0.23642235640723913</v>
      </c>
      <c r="H13" s="15">
        <f t="shared" si="2"/>
        <v>0.20961082162463943</v>
      </c>
      <c r="I13" s="15">
        <f t="shared" si="2"/>
        <v>0.21471578646826164</v>
      </c>
      <c r="J13" s="15">
        <f t="shared" si="2"/>
        <v>0.20530020986326339</v>
      </c>
      <c r="K13" s="15">
        <f t="shared" si="2"/>
        <v>0.15846396846585548</v>
      </c>
      <c r="L13" s="15">
        <f t="shared" si="2"/>
        <v>0.17754674072223153</v>
      </c>
      <c r="M13" s="15">
        <f t="shared" si="2"/>
        <v>0.12098671702440845</v>
      </c>
      <c r="N13" s="15">
        <f t="shared" si="2"/>
        <v>0.13380378990864189</v>
      </c>
      <c r="O13" s="15">
        <f t="shared" si="2"/>
        <v>0.1686365678785629</v>
      </c>
      <c r="P13" s="15">
        <f t="shared" si="2"/>
        <v>0.15234937595807199</v>
      </c>
      <c r="V13" s="17">
        <f>P28/P72</f>
        <v>0.4813166128252741</v>
      </c>
      <c r="W13" s="20">
        <f>P28/P54</f>
        <v>0.12883460645596378</v>
      </c>
      <c r="X13" s="20">
        <f>P22/(P72+P56+P61)</f>
        <v>0.21185058106837182</v>
      </c>
      <c r="Y13" s="21">
        <f>P67/P72</f>
        <v>2.7359264413928264</v>
      </c>
    </row>
    <row r="14" spans="1:25"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c r="N14" s="1" t="s">
        <v>91</v>
      </c>
      <c r="O14" s="1" t="s">
        <v>91</v>
      </c>
      <c r="P14" s="1">
        <v>2384000</v>
      </c>
    </row>
    <row r="15" spans="1:25" ht="20" x14ac:dyDescent="0.25">
      <c r="A15" s="5" t="s">
        <v>10</v>
      </c>
      <c r="B15" s="1" t="s">
        <v>91</v>
      </c>
      <c r="C15" s="1">
        <v>13665000</v>
      </c>
      <c r="D15" s="1">
        <v>27219000</v>
      </c>
      <c r="E15" s="1">
        <v>57781000</v>
      </c>
      <c r="F15" s="1">
        <v>86449000</v>
      </c>
      <c r="G15" s="1">
        <v>89574000</v>
      </c>
      <c r="H15" s="1">
        <v>117472000</v>
      </c>
      <c r="I15" s="1">
        <v>127526000</v>
      </c>
      <c r="J15" s="1">
        <v>116931000</v>
      </c>
      <c r="K15" s="1">
        <v>78504000</v>
      </c>
      <c r="L15" s="1">
        <v>88720000</v>
      </c>
      <c r="M15" s="1">
        <v>115917000</v>
      </c>
      <c r="N15" s="1">
        <v>159542000</v>
      </c>
      <c r="O15" s="1">
        <v>338590000</v>
      </c>
      <c r="P15" s="1">
        <v>526334000</v>
      </c>
      <c r="V15" s="18" t="s">
        <v>120</v>
      </c>
      <c r="W15" s="19" t="s">
        <v>121</v>
      </c>
      <c r="X15" s="19" t="s">
        <v>122</v>
      </c>
      <c r="Y15" s="19" t="s">
        <v>123</v>
      </c>
    </row>
    <row r="16" spans="1:25" ht="19" x14ac:dyDescent="0.25">
      <c r="A16" s="5" t="s">
        <v>11</v>
      </c>
      <c r="B16" s="1" t="s">
        <v>91</v>
      </c>
      <c r="C16" s="1">
        <v>36888000</v>
      </c>
      <c r="D16" s="1">
        <v>82378000</v>
      </c>
      <c r="E16" s="1">
        <v>178235000</v>
      </c>
      <c r="F16" s="1">
        <v>247839000</v>
      </c>
      <c r="G16" s="1">
        <v>255004000</v>
      </c>
      <c r="H16" s="1">
        <v>348333000</v>
      </c>
      <c r="I16" s="1">
        <v>376558000</v>
      </c>
      <c r="J16" s="1">
        <v>381514000</v>
      </c>
      <c r="K16" s="1">
        <v>308627000</v>
      </c>
      <c r="L16" s="1">
        <v>310434000</v>
      </c>
      <c r="M16" s="1">
        <v>519005000</v>
      </c>
      <c r="N16" s="1">
        <v>587986000</v>
      </c>
      <c r="O16" s="1">
        <v>1166217000</v>
      </c>
      <c r="P16" s="1">
        <v>1882592000</v>
      </c>
      <c r="V16" s="29">
        <f>(P35+O35+N35+M35+L35)/5</f>
        <v>0.1270665162250425</v>
      </c>
      <c r="W16" s="60">
        <f>X101/P3</f>
        <v>9.3608337707268543</v>
      </c>
      <c r="X16" s="60">
        <f>X101/P28</f>
        <v>54.908943172724115</v>
      </c>
      <c r="Y16" s="61">
        <f>X101/P107</f>
        <v>31.242181806596466</v>
      </c>
    </row>
    <row r="17" spans="1:25" ht="19" x14ac:dyDescent="0.25">
      <c r="A17" s="5" t="s">
        <v>12</v>
      </c>
      <c r="B17" s="1" t="s">
        <v>91</v>
      </c>
      <c r="C17" s="1">
        <v>356000</v>
      </c>
      <c r="D17" s="1">
        <v>914000</v>
      </c>
      <c r="E17" s="1">
        <v>3006000</v>
      </c>
      <c r="F17" s="1">
        <v>6436000</v>
      </c>
      <c r="G17" s="1">
        <v>2055000</v>
      </c>
      <c r="H17" s="1">
        <v>1863000</v>
      </c>
      <c r="I17" s="1">
        <v>501000</v>
      </c>
      <c r="J17" s="1">
        <v>2773000</v>
      </c>
      <c r="K17" s="1">
        <v>7936000</v>
      </c>
      <c r="L17" s="1">
        <v>9635000</v>
      </c>
      <c r="M17" s="1">
        <v>9691000</v>
      </c>
      <c r="N17" s="1">
        <v>21001000</v>
      </c>
      <c r="O17" s="1">
        <v>45152000</v>
      </c>
      <c r="P17" s="1">
        <v>9438000</v>
      </c>
    </row>
    <row r="18" spans="1:25" ht="20" x14ac:dyDescent="0.25">
      <c r="A18" s="5" t="s">
        <v>13</v>
      </c>
      <c r="B18" s="1" t="s">
        <v>91</v>
      </c>
      <c r="C18" s="1">
        <v>803000</v>
      </c>
      <c r="D18" s="1">
        <v>1550000</v>
      </c>
      <c r="E18" s="1">
        <v>3032000</v>
      </c>
      <c r="F18" s="1">
        <v>5568000</v>
      </c>
      <c r="G18" s="1">
        <v>6981000</v>
      </c>
      <c r="H18" s="1">
        <v>8259000</v>
      </c>
      <c r="I18" s="1">
        <v>10539000</v>
      </c>
      <c r="J18" s="1">
        <v>10638000</v>
      </c>
      <c r="K18" s="1">
        <v>9004000</v>
      </c>
      <c r="L18" s="1">
        <v>9667000</v>
      </c>
      <c r="M18" s="1">
        <v>14119000</v>
      </c>
      <c r="N18" s="1">
        <v>18103000</v>
      </c>
      <c r="O18" s="1">
        <v>32439000</v>
      </c>
      <c r="P18" s="1">
        <v>56143000</v>
      </c>
      <c r="V18" s="18" t="s">
        <v>124</v>
      </c>
      <c r="W18" s="19" t="s">
        <v>159</v>
      </c>
      <c r="X18" s="19" t="s">
        <v>158</v>
      </c>
      <c r="Y18" s="19" t="s">
        <v>157</v>
      </c>
    </row>
    <row r="19" spans="1:25" ht="19" x14ac:dyDescent="0.25">
      <c r="A19" s="6" t="s">
        <v>14</v>
      </c>
      <c r="B19" s="10" t="s">
        <v>91</v>
      </c>
      <c r="C19" s="10">
        <v>-15766000</v>
      </c>
      <c r="D19" s="10">
        <v>-19313000</v>
      </c>
      <c r="E19" s="10">
        <v>-26252000</v>
      </c>
      <c r="F19" s="10">
        <v>-25563000</v>
      </c>
      <c r="G19" s="10">
        <v>-16014000</v>
      </c>
      <c r="H19" s="10">
        <v>2836000</v>
      </c>
      <c r="I19" s="10">
        <v>-9663000</v>
      </c>
      <c r="J19" s="10">
        <v>-52576000</v>
      </c>
      <c r="K19" s="10">
        <v>-28401000</v>
      </c>
      <c r="L19" s="10">
        <v>9073000</v>
      </c>
      <c r="M19" s="10">
        <v>113924000</v>
      </c>
      <c r="N19" s="10">
        <v>158514000</v>
      </c>
      <c r="O19" s="10">
        <v>198519000</v>
      </c>
      <c r="P19" s="10">
        <v>517629000</v>
      </c>
      <c r="Q19" s="56">
        <v>997800000</v>
      </c>
      <c r="R19" s="56">
        <v>1309000000</v>
      </c>
      <c r="S19" s="56">
        <v>1609000000</v>
      </c>
      <c r="T19" s="56">
        <v>1615000000</v>
      </c>
      <c r="U19" s="56">
        <v>1827000000</v>
      </c>
      <c r="V19" s="30">
        <f>P40-P56-P61</f>
        <v>322486000</v>
      </c>
      <c r="W19" s="60">
        <f>X101/Q3</f>
        <v>7.1396359545157067</v>
      </c>
      <c r="X19" s="60">
        <f>X101/Q28</f>
        <v>27.660658566176469</v>
      </c>
      <c r="Y19" s="61">
        <f>X101/Q106</f>
        <v>27.114113926929292</v>
      </c>
    </row>
    <row r="20" spans="1:25" ht="19" customHeight="1" x14ac:dyDescent="0.25">
      <c r="A20" s="14" t="s">
        <v>100</v>
      </c>
      <c r="B20" s="1"/>
      <c r="C20" s="15" t="e">
        <f>(C19/B19)-1</f>
        <v>#VALUE!</v>
      </c>
      <c r="D20" s="15">
        <f>(D19/C19)-1</f>
        <v>0.22497780032982373</v>
      </c>
      <c r="E20" s="15">
        <f>(E19/D19)-1</f>
        <v>0.35929166882410812</v>
      </c>
      <c r="F20" s="15">
        <f t="shared" ref="F20:P20" si="3">(F19/E19)-1</f>
        <v>-2.6245619381380481E-2</v>
      </c>
      <c r="G20" s="15">
        <f t="shared" si="3"/>
        <v>-0.37354770566834883</v>
      </c>
      <c r="H20" s="15">
        <f t="shared" si="3"/>
        <v>-1.1770950418383914</v>
      </c>
      <c r="I20" s="15">
        <f t="shared" si="3"/>
        <v>-4.4072637517630469</v>
      </c>
      <c r="J20" s="15">
        <f t="shared" si="3"/>
        <v>4.4409603642761049</v>
      </c>
      <c r="K20" s="15">
        <f t="shared" si="3"/>
        <v>-0.4598105599513086</v>
      </c>
      <c r="L20" s="15">
        <f t="shared" si="3"/>
        <v>-1.3194605823738601</v>
      </c>
      <c r="M20" s="15">
        <f t="shared" si="3"/>
        <v>11.556376060839854</v>
      </c>
      <c r="N20" s="15">
        <f t="shared" si="3"/>
        <v>0.3914012850672377</v>
      </c>
      <c r="O20" s="15">
        <f t="shared" si="3"/>
        <v>0.25237518452628782</v>
      </c>
      <c r="P20" s="15">
        <f t="shared" si="3"/>
        <v>1.6074531908784548</v>
      </c>
      <c r="Q20" s="16">
        <f t="shared" ref="Q20" si="4">(Q19/P19)-1</f>
        <v>0.92763543000875148</v>
      </c>
      <c r="R20" s="16">
        <f t="shared" ref="R20" si="5">(R19/Q19)-1</f>
        <v>0.31188614952896376</v>
      </c>
      <c r="S20" s="16">
        <v>0.91</v>
      </c>
      <c r="T20" s="16">
        <f t="shared" ref="T20" si="6">(T19/S19)-1</f>
        <v>3.7290242386576189E-3</v>
      </c>
      <c r="U20" s="16">
        <f t="shared" ref="U20" si="7">(U19/T19)-1</f>
        <v>0.13126934984520133</v>
      </c>
    </row>
    <row r="21" spans="1:25" ht="20" x14ac:dyDescent="0.25">
      <c r="A21" s="5" t="s">
        <v>15</v>
      </c>
      <c r="B21" s="2" t="s">
        <v>91</v>
      </c>
      <c r="C21" s="2">
        <v>-0.78069999999999995</v>
      </c>
      <c r="D21" s="2">
        <v>-0.31319999999999998</v>
      </c>
      <c r="E21" s="2">
        <v>-0.17560000000000001</v>
      </c>
      <c r="F21" s="2">
        <v>-0.11799999999999999</v>
      </c>
      <c r="G21" s="2">
        <v>-6.88E-2</v>
      </c>
      <c r="H21" s="2">
        <v>8.2000000000000007E-3</v>
      </c>
      <c r="I21" s="2">
        <v>-2.7E-2</v>
      </c>
      <c r="J21" s="2">
        <v>-0.16300000000000001</v>
      </c>
      <c r="K21" s="2">
        <v>-9.9199999999999997E-2</v>
      </c>
      <c r="L21" s="2">
        <v>2.87E-2</v>
      </c>
      <c r="M21" s="2">
        <v>0.1825</v>
      </c>
      <c r="N21" s="2">
        <v>0.20469999999999999</v>
      </c>
      <c r="O21" s="2">
        <v>0.14360000000000001</v>
      </c>
      <c r="P21" s="2">
        <v>0.22209999999999999</v>
      </c>
      <c r="Q21" s="57">
        <f>Q19/Q3</f>
        <v>0.32650523560209427</v>
      </c>
      <c r="R21" s="57">
        <f t="shared" ref="R21:U21" si="8">R19/R3</f>
        <v>0.34429247764334558</v>
      </c>
      <c r="S21" s="57">
        <f t="shared" si="8"/>
        <v>0.34045704612780364</v>
      </c>
      <c r="T21" s="57">
        <f t="shared" si="8"/>
        <v>0.30650977415069275</v>
      </c>
      <c r="U21" s="57">
        <f t="shared" si="8"/>
        <v>0.32131551178332746</v>
      </c>
      <c r="X21" s="18" t="s">
        <v>165</v>
      </c>
      <c r="Y21" s="19" t="s">
        <v>166</v>
      </c>
    </row>
    <row r="22" spans="1:25" ht="19" x14ac:dyDescent="0.25">
      <c r="A22" s="6" t="s">
        <v>16</v>
      </c>
      <c r="B22" s="10" t="s">
        <v>91</v>
      </c>
      <c r="C22" s="10">
        <v>-16694000</v>
      </c>
      <c r="D22" s="10">
        <v>-20717000</v>
      </c>
      <c r="E22" s="10">
        <v>-28712000</v>
      </c>
      <c r="F22" s="10">
        <v>-31161000</v>
      </c>
      <c r="G22" s="10">
        <v>-22158000</v>
      </c>
      <c r="H22" s="10">
        <v>-4429000</v>
      </c>
      <c r="I22" s="10">
        <v>-19309000</v>
      </c>
      <c r="J22" s="10">
        <v>-62700000</v>
      </c>
      <c r="K22" s="10">
        <v>-39378000</v>
      </c>
      <c r="L22" s="10">
        <v>1596000</v>
      </c>
      <c r="M22" s="10">
        <v>102729000</v>
      </c>
      <c r="N22" s="10">
        <v>186439000</v>
      </c>
      <c r="O22" s="10">
        <v>215832000</v>
      </c>
      <c r="P22" s="10">
        <v>448261000</v>
      </c>
      <c r="X22" s="73">
        <f>(-1*P98)/X101</f>
        <v>0</v>
      </c>
      <c r="Y22" s="74">
        <f>P107/X101</f>
        <v>3.2008007833462526E-2</v>
      </c>
    </row>
    <row r="23" spans="1:25" ht="19" x14ac:dyDescent="0.25">
      <c r="A23" s="5" t="s">
        <v>17</v>
      </c>
      <c r="B23" s="2" t="s">
        <v>91</v>
      </c>
      <c r="C23" s="2">
        <v>-0.82669999999999999</v>
      </c>
      <c r="D23" s="2">
        <v>-0.33600000000000002</v>
      </c>
      <c r="E23" s="2">
        <v>-0.192</v>
      </c>
      <c r="F23" s="2">
        <v>-0.14380000000000001</v>
      </c>
      <c r="G23" s="2">
        <v>-9.5200000000000007E-2</v>
      </c>
      <c r="H23" s="2">
        <v>-1.29E-2</v>
      </c>
      <c r="I23" s="2">
        <v>-5.3999999999999999E-2</v>
      </c>
      <c r="J23" s="2">
        <v>-0.19439999999999999</v>
      </c>
      <c r="K23" s="2">
        <v>-0.1376</v>
      </c>
      <c r="L23" s="2">
        <v>5.0000000000000001E-3</v>
      </c>
      <c r="M23" s="2">
        <v>0.16450000000000001</v>
      </c>
      <c r="N23" s="2">
        <v>0.2407</v>
      </c>
      <c r="O23" s="2">
        <v>0.15620000000000001</v>
      </c>
      <c r="P23" s="2">
        <v>0.1923</v>
      </c>
    </row>
    <row r="24" spans="1:25" ht="19" x14ac:dyDescent="0.25">
      <c r="A24" s="5" t="s">
        <v>18</v>
      </c>
      <c r="B24" s="1" t="s">
        <v>91</v>
      </c>
      <c r="C24" s="1" t="s">
        <v>91</v>
      </c>
      <c r="D24" s="1">
        <v>-185000</v>
      </c>
      <c r="E24" s="1">
        <v>-576000</v>
      </c>
      <c r="F24" s="1">
        <v>-6406000</v>
      </c>
      <c r="G24" s="1">
        <v>-2892000</v>
      </c>
      <c r="H24" s="1">
        <v>-2857000</v>
      </c>
      <c r="I24" s="1">
        <v>-1394000</v>
      </c>
      <c r="J24" s="1">
        <v>-3287000</v>
      </c>
      <c r="K24" s="1">
        <v>-5963000</v>
      </c>
      <c r="L24" s="1">
        <v>-11825000</v>
      </c>
      <c r="M24" s="1">
        <v>-12615000</v>
      </c>
      <c r="N24" s="1">
        <v>-67029000</v>
      </c>
      <c r="O24" s="1">
        <v>-94904000</v>
      </c>
      <c r="P24" s="1">
        <v>3787000</v>
      </c>
    </row>
    <row r="25" spans="1:25" ht="19" x14ac:dyDescent="0.25">
      <c r="A25" s="6" t="s">
        <v>19</v>
      </c>
      <c r="B25" s="10" t="s">
        <v>91</v>
      </c>
      <c r="C25" s="10" t="s">
        <v>91</v>
      </c>
      <c r="D25" s="10" t="s">
        <v>91</v>
      </c>
      <c r="E25" s="10" t="s">
        <v>91</v>
      </c>
      <c r="F25" s="10">
        <v>-37567000</v>
      </c>
      <c r="G25" s="10">
        <v>-25050000</v>
      </c>
      <c r="H25" s="10">
        <v>-7286000</v>
      </c>
      <c r="I25" s="10">
        <v>-20703000</v>
      </c>
      <c r="J25" s="10">
        <v>-65987000</v>
      </c>
      <c r="K25" s="10">
        <v>-45341000</v>
      </c>
      <c r="L25" s="10">
        <v>-10229000</v>
      </c>
      <c r="M25" s="10">
        <v>90114000</v>
      </c>
      <c r="N25" s="10">
        <v>119410000</v>
      </c>
      <c r="O25" s="10">
        <v>120928000</v>
      </c>
      <c r="P25" s="10">
        <v>452048000</v>
      </c>
    </row>
    <row r="26" spans="1:25" ht="19" x14ac:dyDescent="0.25">
      <c r="A26" s="5" t="s">
        <v>20</v>
      </c>
      <c r="B26" s="2" t="s">
        <v>91</v>
      </c>
      <c r="C26" s="2" t="s">
        <v>91</v>
      </c>
      <c r="D26" s="2" t="s">
        <v>91</v>
      </c>
      <c r="E26" s="2" t="s">
        <v>91</v>
      </c>
      <c r="F26" s="2">
        <v>-0.1734</v>
      </c>
      <c r="G26" s="2">
        <v>-0.1076</v>
      </c>
      <c r="H26" s="2">
        <v>-2.12E-2</v>
      </c>
      <c r="I26" s="2">
        <v>-5.8000000000000003E-2</v>
      </c>
      <c r="J26" s="2">
        <v>-0.2046</v>
      </c>
      <c r="K26" s="2">
        <v>-0.15840000000000001</v>
      </c>
      <c r="L26" s="2">
        <v>-3.2399999999999998E-2</v>
      </c>
      <c r="M26" s="2">
        <v>0.14430000000000001</v>
      </c>
      <c r="N26" s="2">
        <v>0.1542</v>
      </c>
      <c r="O26" s="2">
        <v>8.7499999999999994E-2</v>
      </c>
      <c r="P26" s="2">
        <v>0.19389999999999999</v>
      </c>
    </row>
    <row r="27" spans="1:25" ht="19" x14ac:dyDescent="0.25">
      <c r="A27" s="5" t="s">
        <v>21</v>
      </c>
      <c r="B27" s="1" t="s">
        <v>91</v>
      </c>
      <c r="C27" s="1" t="s">
        <v>91</v>
      </c>
      <c r="D27" s="1" t="s">
        <v>91</v>
      </c>
      <c r="E27" s="1" t="s">
        <v>91</v>
      </c>
      <c r="F27" s="1">
        <v>651000</v>
      </c>
      <c r="G27" s="1">
        <v>863000</v>
      </c>
      <c r="H27" s="1">
        <v>766000</v>
      </c>
      <c r="I27" s="1">
        <v>1379000</v>
      </c>
      <c r="J27" s="1">
        <v>1475000</v>
      </c>
      <c r="K27" s="1">
        <v>-149000</v>
      </c>
      <c r="L27" s="1">
        <v>1398000</v>
      </c>
      <c r="M27" s="1">
        <v>-71034000</v>
      </c>
      <c r="N27" s="1">
        <v>-14585000</v>
      </c>
      <c r="O27" s="1">
        <v>-24521000</v>
      </c>
      <c r="P27" s="1">
        <v>54686000</v>
      </c>
    </row>
    <row r="28" spans="1:25" ht="20" thickBot="1" x14ac:dyDescent="0.3">
      <c r="A28" s="7" t="s">
        <v>22</v>
      </c>
      <c r="B28" s="11" t="s">
        <v>91</v>
      </c>
      <c r="C28" s="11">
        <v>-16925000</v>
      </c>
      <c r="D28" s="11">
        <v>-21777000</v>
      </c>
      <c r="E28" s="11">
        <v>-32290000</v>
      </c>
      <c r="F28" s="11">
        <v>-38218000</v>
      </c>
      <c r="G28" s="11">
        <v>-25913000</v>
      </c>
      <c r="H28" s="11">
        <v>-8052000</v>
      </c>
      <c r="I28" s="11">
        <v>-22082000</v>
      </c>
      <c r="J28" s="11">
        <v>-67462000</v>
      </c>
      <c r="K28" s="11">
        <v>-45192000</v>
      </c>
      <c r="L28" s="11">
        <v>-11627000</v>
      </c>
      <c r="M28" s="11">
        <v>161148000</v>
      </c>
      <c r="N28" s="11">
        <v>133995000</v>
      </c>
      <c r="O28" s="11">
        <v>145449000</v>
      </c>
      <c r="P28" s="11">
        <v>397362000</v>
      </c>
      <c r="Q28" s="58">
        <v>788800000</v>
      </c>
      <c r="R28" s="58">
        <v>1067000000</v>
      </c>
      <c r="S28" s="58">
        <v>1360000000</v>
      </c>
      <c r="T28" s="58">
        <v>1501000000</v>
      </c>
      <c r="U28" s="58">
        <v>1568000000</v>
      </c>
    </row>
    <row r="29" spans="1:25" ht="20" customHeight="1" thickTop="1" x14ac:dyDescent="0.25">
      <c r="A29" s="14" t="s">
        <v>101</v>
      </c>
      <c r="B29" s="1"/>
      <c r="C29" s="15" t="e">
        <f>(C28/B28)-1</f>
        <v>#VALUE!</v>
      </c>
      <c r="D29" s="15">
        <f>(D28/C28)-1</f>
        <v>0.28667651403249628</v>
      </c>
      <c r="E29" s="15">
        <f>(E28/D28)-1</f>
        <v>0.48275703724112606</v>
      </c>
      <c r="F29" s="15">
        <f t="shared" ref="F29:P29" si="9">(F28/E28)-1</f>
        <v>0.18358624961288328</v>
      </c>
      <c r="G29" s="15">
        <f t="shared" si="9"/>
        <v>-0.32196870584541315</v>
      </c>
      <c r="H29" s="15">
        <f t="shared" si="9"/>
        <v>-0.68926793501331374</v>
      </c>
      <c r="I29" s="15">
        <f t="shared" si="9"/>
        <v>1.7424242424242422</v>
      </c>
      <c r="J29" s="15">
        <f t="shared" si="9"/>
        <v>2.0550674757721219</v>
      </c>
      <c r="K29" s="15">
        <f t="shared" si="9"/>
        <v>-0.33011176662417363</v>
      </c>
      <c r="L29" s="15">
        <f t="shared" si="9"/>
        <v>-0.74271995043370509</v>
      </c>
      <c r="M29" s="15">
        <f t="shared" si="9"/>
        <v>-14.859809065107079</v>
      </c>
      <c r="N29" s="15">
        <f t="shared" si="9"/>
        <v>-0.16849728200163827</v>
      </c>
      <c r="O29" s="15">
        <f t="shared" si="9"/>
        <v>8.548080152244486E-2</v>
      </c>
      <c r="P29" s="15">
        <f t="shared" si="9"/>
        <v>1.7319679062764268</v>
      </c>
      <c r="Q29" s="16">
        <f t="shared" ref="Q29" si="10">(Q28/P28)-1</f>
        <v>0.98509167962714095</v>
      </c>
      <c r="R29" s="16">
        <f t="shared" ref="R29" si="11">(R28/Q28)-1</f>
        <v>0.35268762677484777</v>
      </c>
      <c r="S29" s="16">
        <f t="shared" ref="S29" si="12">(S28/R28)-1</f>
        <v>0.27460168697282095</v>
      </c>
      <c r="T29" s="16">
        <f t="shared" ref="T29" si="13">(T28/S28)-1</f>
        <v>0.10367647058823537</v>
      </c>
      <c r="U29" s="16">
        <f t="shared" ref="U29" si="14">(U28/T28)-1</f>
        <v>4.4636908727514912E-2</v>
      </c>
    </row>
    <row r="30" spans="1:25" ht="19" x14ac:dyDescent="0.25">
      <c r="A30" s="5" t="s">
        <v>23</v>
      </c>
      <c r="B30" s="2" t="s">
        <v>91</v>
      </c>
      <c r="C30" s="2">
        <v>-0.83809999999999996</v>
      </c>
      <c r="D30" s="2">
        <v>-0.35320000000000001</v>
      </c>
      <c r="E30" s="2">
        <v>-0.216</v>
      </c>
      <c r="F30" s="2">
        <v>-0.1764</v>
      </c>
      <c r="G30" s="2">
        <v>-0.1113</v>
      </c>
      <c r="H30" s="2">
        <v>-2.3400000000000001E-2</v>
      </c>
      <c r="I30" s="2">
        <v>-6.1800000000000001E-2</v>
      </c>
      <c r="J30" s="2">
        <v>-0.20910000000000001</v>
      </c>
      <c r="K30" s="2">
        <v>-0.15790000000000001</v>
      </c>
      <c r="L30" s="2">
        <v>-3.6799999999999999E-2</v>
      </c>
      <c r="M30" s="2">
        <v>0.2581</v>
      </c>
      <c r="N30" s="2">
        <v>0.17299999999999999</v>
      </c>
      <c r="O30" s="2">
        <v>0.1052</v>
      </c>
      <c r="P30" s="2">
        <v>0.17050000000000001</v>
      </c>
      <c r="Q30" s="57">
        <f>Q28/Q3</f>
        <v>0.2581151832460733</v>
      </c>
      <c r="R30" s="57">
        <f t="shared" ref="R30:U30" si="15">R28/R3</f>
        <v>0.28064176749079434</v>
      </c>
      <c r="S30" s="57">
        <f t="shared" si="15"/>
        <v>0.28776978417266186</v>
      </c>
      <c r="T30" s="57">
        <f t="shared" si="15"/>
        <v>0.28487379009299679</v>
      </c>
      <c r="U30" s="57">
        <f t="shared" si="15"/>
        <v>0.27576503693281745</v>
      </c>
    </row>
    <row r="31" spans="1:25" ht="19" x14ac:dyDescent="0.25">
      <c r="A31" s="5" t="s">
        <v>24</v>
      </c>
      <c r="B31" s="12" t="s">
        <v>91</v>
      </c>
      <c r="C31" s="12">
        <v>-14.98</v>
      </c>
      <c r="D31" s="12">
        <v>-19.27</v>
      </c>
      <c r="E31" s="12">
        <v>-0.82</v>
      </c>
      <c r="F31" s="12">
        <v>-1.24</v>
      </c>
      <c r="G31" s="12">
        <v>-0.62</v>
      </c>
      <c r="H31" s="12">
        <v>-0.19</v>
      </c>
      <c r="I31" s="12">
        <v>-0.49</v>
      </c>
      <c r="J31" s="12">
        <v>-1.34</v>
      </c>
      <c r="K31" s="12">
        <v>-0.54</v>
      </c>
      <c r="L31" s="12">
        <v>-0.12</v>
      </c>
      <c r="M31" s="12">
        <v>1.38</v>
      </c>
      <c r="N31" s="12">
        <v>1.07</v>
      </c>
      <c r="O31" s="12">
        <v>1.1599999999999999</v>
      </c>
      <c r="P31" s="12">
        <v>2.94</v>
      </c>
      <c r="Q31" s="59">
        <v>5.76</v>
      </c>
      <c r="R31" s="59">
        <v>7.79</v>
      </c>
      <c r="S31" s="59">
        <v>9.93</v>
      </c>
      <c r="T31" s="59">
        <v>10.95</v>
      </c>
      <c r="U31" s="59">
        <v>11.44</v>
      </c>
    </row>
    <row r="32" spans="1:25" ht="19" x14ac:dyDescent="0.25">
      <c r="A32" s="5" t="s">
        <v>25</v>
      </c>
      <c r="B32" s="12" t="s">
        <v>91</v>
      </c>
      <c r="C32" s="12">
        <v>-14.98</v>
      </c>
      <c r="D32" s="12">
        <v>-19.27</v>
      </c>
      <c r="E32" s="12">
        <v>-0.82</v>
      </c>
      <c r="F32" s="12">
        <v>-1.24</v>
      </c>
      <c r="G32" s="12">
        <v>-0.62</v>
      </c>
      <c r="H32" s="12">
        <v>-0.19</v>
      </c>
      <c r="I32" s="12">
        <v>-0.49</v>
      </c>
      <c r="J32" s="12">
        <v>-1.34</v>
      </c>
      <c r="K32" s="12">
        <v>-0.54</v>
      </c>
      <c r="L32" s="12">
        <v>-0.12</v>
      </c>
      <c r="M32" s="12">
        <v>1.23</v>
      </c>
      <c r="N32" s="12">
        <v>0.95</v>
      </c>
      <c r="O32" s="12">
        <v>1.1599999999999999</v>
      </c>
      <c r="P32" s="12">
        <v>2.75</v>
      </c>
    </row>
    <row r="33" spans="1:16" ht="19" x14ac:dyDescent="0.25">
      <c r="A33" s="5" t="s">
        <v>26</v>
      </c>
      <c r="B33" s="1" t="s">
        <v>91</v>
      </c>
      <c r="C33" s="1">
        <v>1130000</v>
      </c>
      <c r="D33" s="1">
        <v>1130000</v>
      </c>
      <c r="E33" s="1">
        <v>39290870</v>
      </c>
      <c r="F33" s="1">
        <v>30740000</v>
      </c>
      <c r="G33" s="1">
        <v>41647000</v>
      </c>
      <c r="H33" s="1">
        <v>42903000</v>
      </c>
      <c r="I33" s="1">
        <v>44632000</v>
      </c>
      <c r="J33" s="1">
        <v>50519000</v>
      </c>
      <c r="K33" s="1">
        <v>82939000</v>
      </c>
      <c r="L33" s="1">
        <v>99619000</v>
      </c>
      <c r="M33" s="1">
        <v>116713000</v>
      </c>
      <c r="N33" s="1">
        <v>125561000</v>
      </c>
      <c r="O33" s="1">
        <v>125561000</v>
      </c>
      <c r="P33" s="1">
        <v>135349000</v>
      </c>
    </row>
    <row r="34" spans="1:16" ht="19" x14ac:dyDescent="0.25">
      <c r="A34" s="5" t="s">
        <v>27</v>
      </c>
      <c r="B34" s="1" t="s">
        <v>91</v>
      </c>
      <c r="C34" s="1">
        <v>1130000</v>
      </c>
      <c r="D34" s="1">
        <v>1130000</v>
      </c>
      <c r="E34" s="1">
        <v>39290870</v>
      </c>
      <c r="F34" s="1">
        <v>30740000</v>
      </c>
      <c r="G34" s="1">
        <v>41647000</v>
      </c>
      <c r="H34" s="1">
        <v>42903000</v>
      </c>
      <c r="I34" s="1">
        <v>44632000</v>
      </c>
      <c r="J34" s="1">
        <v>50519000</v>
      </c>
      <c r="K34" s="1">
        <v>82939000</v>
      </c>
      <c r="L34" s="1">
        <v>99619000</v>
      </c>
      <c r="M34" s="1">
        <v>131644000</v>
      </c>
      <c r="N34" s="1">
        <v>141918000</v>
      </c>
      <c r="O34" s="1">
        <v>125561000</v>
      </c>
      <c r="P34" s="1">
        <v>144390000</v>
      </c>
    </row>
    <row r="35" spans="1:16" ht="20" customHeight="1" x14ac:dyDescent="0.25">
      <c r="A35" s="14" t="s">
        <v>102</v>
      </c>
      <c r="B35" s="1"/>
      <c r="C35" s="22" t="e">
        <f>(C34-B34)/B34</f>
        <v>#VALUE!</v>
      </c>
      <c r="D35" s="22">
        <f t="shared" ref="D35:P35" si="16">(D34-C34)/C34</f>
        <v>0</v>
      </c>
      <c r="E35" s="22">
        <f t="shared" si="16"/>
        <v>33.770681415929204</v>
      </c>
      <c r="F35" s="22">
        <f t="shared" si="16"/>
        <v>-0.2176299481278984</v>
      </c>
      <c r="G35" s="22">
        <f t="shared" si="16"/>
        <v>0.35481457384515291</v>
      </c>
      <c r="H35" s="22">
        <f t="shared" si="16"/>
        <v>3.0158234686772156E-2</v>
      </c>
      <c r="I35" s="22">
        <f t="shared" si="16"/>
        <v>4.0300212106379504E-2</v>
      </c>
      <c r="J35" s="22">
        <f t="shared" si="16"/>
        <v>0.131900878293601</v>
      </c>
      <c r="K35" s="22">
        <f t="shared" si="16"/>
        <v>0.64173875175676476</v>
      </c>
      <c r="L35" s="22">
        <f t="shared" si="16"/>
        <v>0.20111166037690351</v>
      </c>
      <c r="M35" s="22">
        <f t="shared" si="16"/>
        <v>0.32147481906062098</v>
      </c>
      <c r="N35" s="22">
        <f t="shared" si="16"/>
        <v>7.8043815137795874E-2</v>
      </c>
      <c r="O35" s="22">
        <f t="shared" si="16"/>
        <v>-0.11525669752955932</v>
      </c>
      <c r="P35" s="22">
        <f t="shared" si="16"/>
        <v>0.14995898407945144</v>
      </c>
    </row>
    <row r="36" spans="1:16"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row>
    <row r="37" spans="1:16"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row>
    <row r="38" spans="1:16" ht="19" x14ac:dyDescent="0.25">
      <c r="A38" s="5" t="s">
        <v>30</v>
      </c>
      <c r="B38" s="1" t="s">
        <v>91</v>
      </c>
      <c r="C38" s="1">
        <v>39993000</v>
      </c>
      <c r="D38" s="1">
        <v>51524000</v>
      </c>
      <c r="E38" s="1">
        <v>45294000</v>
      </c>
      <c r="F38" s="1">
        <v>38190000</v>
      </c>
      <c r="G38" s="1">
        <v>42032000</v>
      </c>
      <c r="H38" s="1">
        <v>28452000</v>
      </c>
      <c r="I38" s="1">
        <v>17764000</v>
      </c>
      <c r="J38" s="1">
        <v>29144000</v>
      </c>
      <c r="K38" s="1">
        <v>106237000</v>
      </c>
      <c r="L38" s="1">
        <v>251409000</v>
      </c>
      <c r="M38" s="1">
        <v>679379000</v>
      </c>
      <c r="N38" s="1">
        <v>119316000</v>
      </c>
      <c r="O38" s="1">
        <v>337583000</v>
      </c>
      <c r="P38" s="1">
        <v>473244000</v>
      </c>
    </row>
    <row r="39" spans="1:16"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v>897335000</v>
      </c>
      <c r="O39" s="1">
        <v>1079713000</v>
      </c>
      <c r="P39" s="1">
        <v>1139599000</v>
      </c>
    </row>
    <row r="40" spans="1:16" ht="19" x14ac:dyDescent="0.25">
      <c r="A40" s="5" t="s">
        <v>32</v>
      </c>
      <c r="B40" s="1" t="s">
        <v>91</v>
      </c>
      <c r="C40" s="1">
        <v>39993000</v>
      </c>
      <c r="D40" s="1">
        <v>51524000</v>
      </c>
      <c r="E40" s="1">
        <v>45294000</v>
      </c>
      <c r="F40" s="1">
        <v>38190000</v>
      </c>
      <c r="G40" s="1">
        <v>42032000</v>
      </c>
      <c r="H40" s="1">
        <v>28452000</v>
      </c>
      <c r="I40" s="1">
        <v>17764000</v>
      </c>
      <c r="J40" s="1">
        <v>29144000</v>
      </c>
      <c r="K40" s="1">
        <v>106237000</v>
      </c>
      <c r="L40" s="1">
        <v>251409000</v>
      </c>
      <c r="M40" s="1">
        <v>679379000</v>
      </c>
      <c r="N40" s="1">
        <v>1016651000</v>
      </c>
      <c r="O40" s="1">
        <v>1417296000</v>
      </c>
      <c r="P40" s="1">
        <v>1612843000</v>
      </c>
    </row>
    <row r="41" spans="1:16" ht="19" x14ac:dyDescent="0.25">
      <c r="A41" s="5" t="s">
        <v>33</v>
      </c>
      <c r="B41" s="1" t="s">
        <v>91</v>
      </c>
      <c r="C41" s="1">
        <v>8024000</v>
      </c>
      <c r="D41" s="1">
        <v>17771000</v>
      </c>
      <c r="E41" s="1">
        <v>27743000</v>
      </c>
      <c r="F41" s="1">
        <v>32084000</v>
      </c>
      <c r="G41" s="1">
        <v>45119000</v>
      </c>
      <c r="H41" s="1">
        <v>46099000</v>
      </c>
      <c r="I41" s="1">
        <v>61019000</v>
      </c>
      <c r="J41" s="1">
        <v>65346000</v>
      </c>
      <c r="K41" s="1">
        <v>78938000</v>
      </c>
      <c r="L41" s="1">
        <v>145413000</v>
      </c>
      <c r="M41" s="1">
        <v>182165000</v>
      </c>
      <c r="N41" s="1">
        <v>333626000</v>
      </c>
      <c r="O41" s="1">
        <v>367647000</v>
      </c>
      <c r="P41" s="1">
        <v>440896000</v>
      </c>
    </row>
    <row r="42" spans="1:16" ht="19" x14ac:dyDescent="0.25">
      <c r="A42" s="5" t="s">
        <v>34</v>
      </c>
      <c r="B42" s="1" t="s">
        <v>91</v>
      </c>
      <c r="C42" s="1">
        <v>4521000</v>
      </c>
      <c r="D42" s="1">
        <v>11228000</v>
      </c>
      <c r="E42" s="1">
        <v>19843000</v>
      </c>
      <c r="F42" s="1">
        <v>16580000</v>
      </c>
      <c r="G42" s="1">
        <v>21590000</v>
      </c>
      <c r="H42" s="1">
        <v>40800000</v>
      </c>
      <c r="I42" s="1">
        <v>31960000</v>
      </c>
      <c r="J42" s="1">
        <v>25999000</v>
      </c>
      <c r="K42" s="1">
        <v>16267000</v>
      </c>
      <c r="L42" s="1">
        <v>32056000</v>
      </c>
      <c r="M42" s="1">
        <v>41764000</v>
      </c>
      <c r="N42" s="1">
        <v>74400000</v>
      </c>
      <c r="O42" s="1">
        <v>146451000</v>
      </c>
      <c r="P42" s="1">
        <v>149708000</v>
      </c>
    </row>
    <row r="43" spans="1:16" ht="19" x14ac:dyDescent="0.25">
      <c r="A43" s="5" t="s">
        <v>35</v>
      </c>
      <c r="B43" s="1" t="s">
        <v>91</v>
      </c>
      <c r="C43" s="1">
        <v>418000</v>
      </c>
      <c r="D43" s="1">
        <v>1264000</v>
      </c>
      <c r="E43" s="1">
        <v>2118000</v>
      </c>
      <c r="F43" s="1">
        <v>3655000</v>
      </c>
      <c r="G43" s="1">
        <v>6155000</v>
      </c>
      <c r="H43" s="1">
        <v>6417000</v>
      </c>
      <c r="I43" s="1">
        <v>7121000</v>
      </c>
      <c r="J43" s="1">
        <v>9957000</v>
      </c>
      <c r="K43" s="1">
        <v>20860000</v>
      </c>
      <c r="L43" s="1">
        <v>70779000</v>
      </c>
      <c r="M43" s="1">
        <v>29756000</v>
      </c>
      <c r="N43" s="1">
        <v>37784000</v>
      </c>
      <c r="O43" s="1">
        <v>51270000</v>
      </c>
      <c r="P43" s="1">
        <v>60824000</v>
      </c>
    </row>
    <row r="44" spans="1:16" ht="19" x14ac:dyDescent="0.25">
      <c r="A44" s="6" t="s">
        <v>36</v>
      </c>
      <c r="B44" s="10" t="s">
        <v>91</v>
      </c>
      <c r="C44" s="10">
        <v>52956000</v>
      </c>
      <c r="D44" s="10">
        <v>81787000</v>
      </c>
      <c r="E44" s="10">
        <v>94998000</v>
      </c>
      <c r="F44" s="10">
        <v>90509000</v>
      </c>
      <c r="G44" s="10">
        <v>114896000</v>
      </c>
      <c r="H44" s="10">
        <v>121768000</v>
      </c>
      <c r="I44" s="10">
        <v>117864000</v>
      </c>
      <c r="J44" s="10">
        <v>130446000</v>
      </c>
      <c r="K44" s="10">
        <v>222302000</v>
      </c>
      <c r="L44" s="10">
        <v>499657000</v>
      </c>
      <c r="M44" s="10">
        <v>933064000</v>
      </c>
      <c r="N44" s="10">
        <v>1462461000</v>
      </c>
      <c r="O44" s="10">
        <v>1982664000</v>
      </c>
      <c r="P44" s="10">
        <v>2264271000</v>
      </c>
    </row>
    <row r="45" spans="1:16" ht="19" x14ac:dyDescent="0.25">
      <c r="A45" s="5" t="s">
        <v>37</v>
      </c>
      <c r="B45" s="1" t="s">
        <v>91</v>
      </c>
      <c r="C45" s="1">
        <v>6103000</v>
      </c>
      <c r="D45" s="1">
        <v>18411000</v>
      </c>
      <c r="E45" s="1">
        <v>25541000</v>
      </c>
      <c r="F45" s="1">
        <v>24853000</v>
      </c>
      <c r="G45" s="1">
        <v>30824000</v>
      </c>
      <c r="H45" s="1">
        <v>32118000</v>
      </c>
      <c r="I45" s="1">
        <v>31440000</v>
      </c>
      <c r="J45" s="1">
        <v>26483000</v>
      </c>
      <c r="K45" s="1">
        <v>20998000</v>
      </c>
      <c r="L45" s="1">
        <v>39053000</v>
      </c>
      <c r="M45" s="1">
        <v>60668000</v>
      </c>
      <c r="N45" s="1">
        <v>96587000</v>
      </c>
      <c r="O45" s="1">
        <v>109929000</v>
      </c>
      <c r="P45" s="1">
        <v>132746000</v>
      </c>
    </row>
    <row r="46" spans="1:16" ht="19" x14ac:dyDescent="0.25">
      <c r="A46" s="5" t="s">
        <v>38</v>
      </c>
      <c r="B46" s="1" t="s">
        <v>91</v>
      </c>
      <c r="C46" s="1" t="s">
        <v>91</v>
      </c>
      <c r="D46" s="1" t="s">
        <v>91</v>
      </c>
      <c r="E46" s="1" t="s">
        <v>91</v>
      </c>
      <c r="F46" s="1" t="s">
        <v>91</v>
      </c>
      <c r="G46" s="1">
        <v>3745000</v>
      </c>
      <c r="H46" s="1">
        <v>3745000</v>
      </c>
      <c r="I46" s="1">
        <v>3664000</v>
      </c>
      <c r="J46" s="1">
        <v>3664000</v>
      </c>
      <c r="K46" s="1">
        <v>24783000</v>
      </c>
      <c r="L46" s="1">
        <v>24783000</v>
      </c>
      <c r="M46" s="1">
        <v>24783000</v>
      </c>
      <c r="N46" s="1">
        <v>181254000</v>
      </c>
      <c r="O46" s="1">
        <v>195508000</v>
      </c>
      <c r="P46" s="1">
        <v>213559000</v>
      </c>
    </row>
    <row r="47" spans="1:16" ht="19" x14ac:dyDescent="0.25">
      <c r="A47" s="5" t="s">
        <v>39</v>
      </c>
      <c r="B47" s="1" t="s">
        <v>91</v>
      </c>
      <c r="C47" s="1" t="s">
        <v>91</v>
      </c>
      <c r="D47" s="1" t="s">
        <v>91</v>
      </c>
      <c r="E47" s="1" t="s">
        <v>91</v>
      </c>
      <c r="F47" s="1" t="s">
        <v>91</v>
      </c>
      <c r="G47" s="1">
        <v>1811000</v>
      </c>
      <c r="H47" s="1">
        <v>2220000</v>
      </c>
      <c r="I47" s="1">
        <v>945000</v>
      </c>
      <c r="J47" s="1">
        <v>515000</v>
      </c>
      <c r="K47" s="1">
        <v>35306000</v>
      </c>
      <c r="L47" s="1">
        <v>30579000</v>
      </c>
      <c r="M47" s="1">
        <v>28808000</v>
      </c>
      <c r="N47" s="1">
        <v>97758000</v>
      </c>
      <c r="O47" s="1">
        <v>90924000</v>
      </c>
      <c r="P47" s="1">
        <v>99541000</v>
      </c>
    </row>
    <row r="48" spans="1:16" ht="19" x14ac:dyDescent="0.25">
      <c r="A48" s="5" t="s">
        <v>40</v>
      </c>
      <c r="B48" s="1" t="s">
        <v>91</v>
      </c>
      <c r="C48" s="1" t="s">
        <v>91</v>
      </c>
      <c r="D48" s="1" t="s">
        <v>91</v>
      </c>
      <c r="E48" s="1" t="s">
        <v>91</v>
      </c>
      <c r="F48" s="1" t="s">
        <v>91</v>
      </c>
      <c r="G48" s="1">
        <v>5556000</v>
      </c>
      <c r="H48" s="1">
        <v>5965000</v>
      </c>
      <c r="I48" s="1">
        <v>4609000</v>
      </c>
      <c r="J48" s="1">
        <v>4179000</v>
      </c>
      <c r="K48" s="1">
        <v>60089000</v>
      </c>
      <c r="L48" s="1">
        <v>55362000</v>
      </c>
      <c r="M48" s="1">
        <v>53591000</v>
      </c>
      <c r="N48" s="1">
        <v>279012000</v>
      </c>
      <c r="O48" s="1">
        <v>286432000</v>
      </c>
      <c r="P48" s="1">
        <v>313100000</v>
      </c>
    </row>
    <row r="49" spans="1:16"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row>
    <row r="50" spans="1:16" ht="19" x14ac:dyDescent="0.25">
      <c r="A50" s="5" t="s">
        <v>42</v>
      </c>
      <c r="B50" s="1" t="s">
        <v>91</v>
      </c>
      <c r="C50" s="1" t="s">
        <v>91</v>
      </c>
      <c r="D50" s="1" t="s">
        <v>91</v>
      </c>
      <c r="E50" s="1" t="s">
        <v>91</v>
      </c>
      <c r="F50" s="1" t="s">
        <v>91</v>
      </c>
      <c r="G50" s="1" t="s">
        <v>91</v>
      </c>
      <c r="H50" s="1" t="s">
        <v>91</v>
      </c>
      <c r="I50" s="1" t="s">
        <v>91</v>
      </c>
      <c r="J50" s="1" t="s">
        <v>91</v>
      </c>
      <c r="K50" s="1" t="s">
        <v>91</v>
      </c>
      <c r="L50" s="1">
        <v>74531000</v>
      </c>
      <c r="M50" s="1">
        <v>92904000</v>
      </c>
      <c r="N50" s="1">
        <v>122470000</v>
      </c>
      <c r="O50" s="1">
        <v>178371000</v>
      </c>
      <c r="P50" s="1">
        <v>204872000</v>
      </c>
    </row>
    <row r="51" spans="1:16" ht="19" x14ac:dyDescent="0.25">
      <c r="A51" s="5" t="s">
        <v>43</v>
      </c>
      <c r="B51" s="1" t="s">
        <v>91</v>
      </c>
      <c r="C51" s="1">
        <v>445000</v>
      </c>
      <c r="D51" s="1">
        <v>4561000</v>
      </c>
      <c r="E51" s="1">
        <v>1752000</v>
      </c>
      <c r="F51" s="1">
        <v>1307000</v>
      </c>
      <c r="G51" s="1">
        <v>916000</v>
      </c>
      <c r="H51" s="1">
        <v>5677000</v>
      </c>
      <c r="I51" s="1">
        <v>9663000</v>
      </c>
      <c r="J51" s="1">
        <v>8039000</v>
      </c>
      <c r="K51" s="1">
        <v>36548000</v>
      </c>
      <c r="L51" s="1">
        <v>44620000</v>
      </c>
      <c r="M51" s="1">
        <v>59875000</v>
      </c>
      <c r="N51" s="1">
        <v>118726000</v>
      </c>
      <c r="O51" s="1">
        <v>140439000</v>
      </c>
      <c r="P51" s="1">
        <v>169291000</v>
      </c>
    </row>
    <row r="52" spans="1:16" ht="19" x14ac:dyDescent="0.25">
      <c r="A52" s="5" t="s">
        <v>44</v>
      </c>
      <c r="B52" s="1" t="s">
        <v>91</v>
      </c>
      <c r="C52" s="1">
        <v>6548000</v>
      </c>
      <c r="D52" s="1">
        <v>22972000</v>
      </c>
      <c r="E52" s="1">
        <v>27293000</v>
      </c>
      <c r="F52" s="1">
        <v>26160000</v>
      </c>
      <c r="G52" s="1">
        <v>37296000</v>
      </c>
      <c r="H52" s="1">
        <v>43760000</v>
      </c>
      <c r="I52" s="1">
        <v>45712000</v>
      </c>
      <c r="J52" s="1">
        <v>38701000</v>
      </c>
      <c r="K52" s="1">
        <v>117635000</v>
      </c>
      <c r="L52" s="1">
        <v>213566000</v>
      </c>
      <c r="M52" s="1">
        <v>267038000</v>
      </c>
      <c r="N52" s="1">
        <v>616795000</v>
      </c>
      <c r="O52" s="1">
        <v>715171000</v>
      </c>
      <c r="P52" s="1">
        <v>820009000</v>
      </c>
    </row>
    <row r="53" spans="1:16"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row>
    <row r="54" spans="1:16" ht="20" thickBot="1" x14ac:dyDescent="0.3">
      <c r="A54" s="7" t="s">
        <v>46</v>
      </c>
      <c r="B54" s="11" t="s">
        <v>91</v>
      </c>
      <c r="C54" s="11">
        <v>59504000</v>
      </c>
      <c r="D54" s="11">
        <v>104759000</v>
      </c>
      <c r="E54" s="11">
        <v>122291000</v>
      </c>
      <c r="F54" s="11">
        <v>116669000</v>
      </c>
      <c r="G54" s="11">
        <v>152192000</v>
      </c>
      <c r="H54" s="11">
        <v>165528000</v>
      </c>
      <c r="I54" s="11">
        <v>163576000</v>
      </c>
      <c r="J54" s="11">
        <v>169147000</v>
      </c>
      <c r="K54" s="11">
        <v>339937000</v>
      </c>
      <c r="L54" s="11">
        <v>713223000</v>
      </c>
      <c r="M54" s="11">
        <v>1200102000</v>
      </c>
      <c r="N54" s="11">
        <v>2079256000</v>
      </c>
      <c r="O54" s="11">
        <v>2697835000</v>
      </c>
      <c r="P54" s="11">
        <v>3084280000</v>
      </c>
    </row>
    <row r="55" spans="1:16" ht="20" thickTop="1" x14ac:dyDescent="0.25">
      <c r="A55" s="5" t="s">
        <v>47</v>
      </c>
      <c r="B55" s="1" t="s">
        <v>91</v>
      </c>
      <c r="C55" s="1">
        <v>6521000</v>
      </c>
      <c r="D55" s="1">
        <v>12928000</v>
      </c>
      <c r="E55" s="1">
        <v>11272000</v>
      </c>
      <c r="F55" s="1">
        <v>7363000</v>
      </c>
      <c r="G55" s="1">
        <v>22316000</v>
      </c>
      <c r="H55" s="1">
        <v>25569000</v>
      </c>
      <c r="I55" s="1">
        <v>31696000</v>
      </c>
      <c r="J55" s="1">
        <v>28747000</v>
      </c>
      <c r="K55" s="1">
        <v>48794000</v>
      </c>
      <c r="L55" s="1">
        <v>57474000</v>
      </c>
      <c r="M55" s="1">
        <v>72609000</v>
      </c>
      <c r="N55" s="1">
        <v>113767000</v>
      </c>
      <c r="O55" s="1">
        <v>92823000</v>
      </c>
      <c r="P55" s="1">
        <v>125085000</v>
      </c>
    </row>
    <row r="56" spans="1:16" ht="19" x14ac:dyDescent="0.25">
      <c r="A56" s="5" t="s">
        <v>48</v>
      </c>
      <c r="B56" s="1" t="s">
        <v>91</v>
      </c>
      <c r="C56" s="1">
        <v>2567000</v>
      </c>
      <c r="D56" s="1">
        <v>4529000</v>
      </c>
      <c r="E56" s="1">
        <v>2384000</v>
      </c>
      <c r="F56" s="1">
        <v>3507000</v>
      </c>
      <c r="G56" s="1" t="s">
        <v>91</v>
      </c>
      <c r="H56" s="1">
        <v>17000000</v>
      </c>
      <c r="I56" s="1">
        <v>13132000</v>
      </c>
      <c r="J56" s="1">
        <v>17429000</v>
      </c>
      <c r="K56" s="1">
        <v>28155000</v>
      </c>
      <c r="L56" s="1">
        <v>6054000</v>
      </c>
      <c r="M56" s="1">
        <v>330509000</v>
      </c>
      <c r="N56" s="1">
        <v>89882000</v>
      </c>
      <c r="O56" s="1">
        <v>89654000</v>
      </c>
      <c r="P56" s="1">
        <v>90892000</v>
      </c>
    </row>
    <row r="57" spans="1:16"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row>
    <row r="58" spans="1:16" ht="19" x14ac:dyDescent="0.25">
      <c r="A58" s="5" t="s">
        <v>50</v>
      </c>
      <c r="B58" s="1" t="s">
        <v>91</v>
      </c>
      <c r="C58" s="1">
        <v>595000</v>
      </c>
      <c r="D58" s="1">
        <v>23414000</v>
      </c>
      <c r="E58" s="1">
        <v>933000</v>
      </c>
      <c r="F58" s="1">
        <v>2773000</v>
      </c>
      <c r="G58" s="1">
        <v>2747000</v>
      </c>
      <c r="H58" s="1">
        <v>3915000</v>
      </c>
      <c r="I58" s="1">
        <v>6411000</v>
      </c>
      <c r="J58" s="1">
        <v>15691000</v>
      </c>
      <c r="K58" s="1">
        <v>33119000</v>
      </c>
      <c r="L58" s="1">
        <v>81783000</v>
      </c>
      <c r="M58" s="1">
        <v>47665000</v>
      </c>
      <c r="N58" s="1">
        <v>62670000</v>
      </c>
      <c r="O58" s="1">
        <v>79609000</v>
      </c>
      <c r="P58" s="1">
        <v>90747000</v>
      </c>
    </row>
    <row r="59" spans="1:16" ht="19" x14ac:dyDescent="0.25">
      <c r="A59" s="5" t="s">
        <v>51</v>
      </c>
      <c r="B59" s="1" t="s">
        <v>91</v>
      </c>
      <c r="C59" s="1">
        <v>3520000</v>
      </c>
      <c r="D59" s="1">
        <v>10100000</v>
      </c>
      <c r="E59" s="1">
        <v>19266000</v>
      </c>
      <c r="F59" s="1">
        <v>19722000</v>
      </c>
      <c r="G59" s="1">
        <v>33643000</v>
      </c>
      <c r="H59" s="1">
        <v>26364000</v>
      </c>
      <c r="I59" s="1">
        <v>31533000</v>
      </c>
      <c r="J59" s="1">
        <v>29874000</v>
      </c>
      <c r="K59" s="1">
        <v>37093000</v>
      </c>
      <c r="L59" s="1">
        <v>54000000</v>
      </c>
      <c r="M59" s="1">
        <v>83260000</v>
      </c>
      <c r="N59" s="1">
        <v>173477000</v>
      </c>
      <c r="O59" s="1">
        <v>288150000</v>
      </c>
      <c r="P59" s="1">
        <v>331495000</v>
      </c>
    </row>
    <row r="60" spans="1:16" ht="19" x14ac:dyDescent="0.25">
      <c r="A60" s="6" t="s">
        <v>52</v>
      </c>
      <c r="B60" s="10" t="s">
        <v>91</v>
      </c>
      <c r="C60" s="10">
        <v>13203000</v>
      </c>
      <c r="D60" s="10">
        <v>50971000</v>
      </c>
      <c r="E60" s="10">
        <v>33855000</v>
      </c>
      <c r="F60" s="10">
        <v>33365000</v>
      </c>
      <c r="G60" s="10">
        <v>58706000</v>
      </c>
      <c r="H60" s="10">
        <v>72848000</v>
      </c>
      <c r="I60" s="10">
        <v>82772000</v>
      </c>
      <c r="J60" s="10">
        <v>91741000</v>
      </c>
      <c r="K60" s="10">
        <v>147161000</v>
      </c>
      <c r="L60" s="10">
        <v>199311000</v>
      </c>
      <c r="M60" s="10">
        <v>534043000</v>
      </c>
      <c r="N60" s="10">
        <v>439796000</v>
      </c>
      <c r="O60" s="10">
        <v>550236000</v>
      </c>
      <c r="P60" s="10">
        <v>638219000</v>
      </c>
    </row>
    <row r="61" spans="1:16" ht="19" x14ac:dyDescent="0.25">
      <c r="A61" s="5" t="s">
        <v>53</v>
      </c>
      <c r="B61" s="1" t="s">
        <v>91</v>
      </c>
      <c r="C61" s="1">
        <v>4336000</v>
      </c>
      <c r="D61" s="1">
        <v>10148000</v>
      </c>
      <c r="E61" s="1">
        <v>8677000</v>
      </c>
      <c r="F61" s="1">
        <v>5170000</v>
      </c>
      <c r="G61" s="1" t="s">
        <v>91</v>
      </c>
      <c r="H61" s="1" t="s">
        <v>91</v>
      </c>
      <c r="I61" s="1">
        <v>20768000</v>
      </c>
      <c r="J61" s="1">
        <v>32322000</v>
      </c>
      <c r="K61" s="1">
        <v>81628000</v>
      </c>
      <c r="L61" s="1">
        <v>102659000</v>
      </c>
      <c r="M61" s="1">
        <v>4898000</v>
      </c>
      <c r="N61" s="1">
        <v>951594000</v>
      </c>
      <c r="O61" s="1">
        <v>1198627000</v>
      </c>
      <c r="P61" s="1">
        <v>1199465000</v>
      </c>
    </row>
    <row r="62" spans="1:16" ht="19" x14ac:dyDescent="0.25">
      <c r="A62" s="5" t="s">
        <v>50</v>
      </c>
      <c r="B62" s="1" t="s">
        <v>91</v>
      </c>
      <c r="C62" s="1">
        <v>1044000</v>
      </c>
      <c r="D62" s="1">
        <v>3670000</v>
      </c>
      <c r="E62" s="1">
        <v>7537000</v>
      </c>
      <c r="F62" s="1">
        <v>11284000</v>
      </c>
      <c r="G62" s="1">
        <v>16612000</v>
      </c>
      <c r="H62" s="1">
        <v>25115000</v>
      </c>
      <c r="I62" s="1">
        <v>33893000</v>
      </c>
      <c r="J62" s="1">
        <v>29941000</v>
      </c>
      <c r="K62" s="1">
        <v>76911000</v>
      </c>
      <c r="L62" s="1">
        <v>100204000</v>
      </c>
      <c r="M62" s="1">
        <v>125473000</v>
      </c>
      <c r="N62" s="1">
        <v>187186000</v>
      </c>
      <c r="O62" s="1">
        <v>239971000</v>
      </c>
      <c r="P62" s="1">
        <v>281613000</v>
      </c>
    </row>
    <row r="63" spans="1:16"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row>
    <row r="64" spans="1:16" ht="19" x14ac:dyDescent="0.25">
      <c r="A64" s="5" t="s">
        <v>55</v>
      </c>
      <c r="B64" s="1" t="s">
        <v>91</v>
      </c>
      <c r="C64" s="1">
        <v>2440000</v>
      </c>
      <c r="D64" s="1">
        <v>6878000</v>
      </c>
      <c r="E64" s="1">
        <v>15567000</v>
      </c>
      <c r="F64" s="1">
        <v>26644000</v>
      </c>
      <c r="G64" s="1">
        <v>29922000</v>
      </c>
      <c r="H64" s="1">
        <v>26116000</v>
      </c>
      <c r="I64" s="1">
        <v>24843000</v>
      </c>
      <c r="J64" s="1">
        <v>24269000</v>
      </c>
      <c r="K64" s="1">
        <v>26461000</v>
      </c>
      <c r="L64" s="1">
        <v>38837000</v>
      </c>
      <c r="M64" s="1">
        <v>51695000</v>
      </c>
      <c r="N64" s="1">
        <v>70512000</v>
      </c>
      <c r="O64" s="1">
        <v>98948000</v>
      </c>
      <c r="P64" s="1">
        <v>139410000</v>
      </c>
    </row>
    <row r="65" spans="1:16" ht="19" x14ac:dyDescent="0.25">
      <c r="A65" s="5" t="s">
        <v>56</v>
      </c>
      <c r="B65" s="1" t="s">
        <v>91</v>
      </c>
      <c r="C65" s="1">
        <v>7820000</v>
      </c>
      <c r="D65" s="1">
        <v>20696000</v>
      </c>
      <c r="E65" s="1">
        <v>31781000</v>
      </c>
      <c r="F65" s="1">
        <v>43098000</v>
      </c>
      <c r="G65" s="1">
        <v>46534000</v>
      </c>
      <c r="H65" s="1">
        <v>51231000</v>
      </c>
      <c r="I65" s="1">
        <v>79504000</v>
      </c>
      <c r="J65" s="1">
        <v>86532000</v>
      </c>
      <c r="K65" s="1">
        <v>185000000</v>
      </c>
      <c r="L65" s="1">
        <v>241700000</v>
      </c>
      <c r="M65" s="1">
        <v>182066000</v>
      </c>
      <c r="N65" s="1">
        <v>1209292000</v>
      </c>
      <c r="O65" s="1">
        <v>1537546000</v>
      </c>
      <c r="P65" s="1">
        <v>1620488000</v>
      </c>
    </row>
    <row r="66" spans="1:16"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row>
    <row r="67" spans="1:16" ht="19" x14ac:dyDescent="0.25">
      <c r="A67" s="6" t="s">
        <v>58</v>
      </c>
      <c r="B67" s="10" t="s">
        <v>91</v>
      </c>
      <c r="C67" s="10">
        <v>21023000</v>
      </c>
      <c r="D67" s="10">
        <v>71667000</v>
      </c>
      <c r="E67" s="10">
        <v>65636000</v>
      </c>
      <c r="F67" s="10">
        <v>76463000</v>
      </c>
      <c r="G67" s="10">
        <v>105240000</v>
      </c>
      <c r="H67" s="10">
        <v>124079000</v>
      </c>
      <c r="I67" s="10">
        <v>162276000</v>
      </c>
      <c r="J67" s="10">
        <v>178273000</v>
      </c>
      <c r="K67" s="10">
        <v>332161000</v>
      </c>
      <c r="L67" s="10">
        <v>441011000</v>
      </c>
      <c r="M67" s="10">
        <v>716109000</v>
      </c>
      <c r="N67" s="10">
        <v>1649088000</v>
      </c>
      <c r="O67" s="10">
        <v>2087782000</v>
      </c>
      <c r="P67" s="10">
        <v>2258707000</v>
      </c>
    </row>
    <row r="68" spans="1:16" ht="19" x14ac:dyDescent="0.25">
      <c r="A68" s="5" t="s">
        <v>59</v>
      </c>
      <c r="B68" s="1" t="s">
        <v>91</v>
      </c>
      <c r="C68" s="1" t="s">
        <v>91</v>
      </c>
      <c r="D68" s="1" t="s">
        <v>91</v>
      </c>
      <c r="E68" s="1" t="s">
        <v>91</v>
      </c>
      <c r="F68" s="1" t="s">
        <v>91</v>
      </c>
      <c r="G68" s="1" t="s">
        <v>91</v>
      </c>
      <c r="H68" s="1" t="s">
        <v>91</v>
      </c>
      <c r="I68" s="1">
        <v>1000</v>
      </c>
      <c r="J68" s="1">
        <v>1000</v>
      </c>
      <c r="K68" s="1">
        <v>1000</v>
      </c>
      <c r="L68" s="1">
        <v>1000</v>
      </c>
      <c r="M68" s="1">
        <v>1000</v>
      </c>
      <c r="N68" s="1">
        <v>1000</v>
      </c>
      <c r="O68" s="1" t="s">
        <v>91</v>
      </c>
      <c r="P68" s="1">
        <v>1000</v>
      </c>
    </row>
    <row r="69" spans="1:16" ht="19" x14ac:dyDescent="0.25">
      <c r="A69" s="5" t="s">
        <v>60</v>
      </c>
      <c r="B69" s="1" t="s">
        <v>91</v>
      </c>
      <c r="C69" s="1">
        <v>-56518000</v>
      </c>
      <c r="D69" s="1">
        <v>-91802000</v>
      </c>
      <c r="E69" s="1">
        <v>-127026000</v>
      </c>
      <c r="F69" s="1">
        <v>-152939000</v>
      </c>
      <c r="G69" s="1">
        <v>-160991000</v>
      </c>
      <c r="H69" s="1">
        <v>-183073000</v>
      </c>
      <c r="I69" s="1">
        <v>-250535000</v>
      </c>
      <c r="J69" s="1">
        <v>-295727000</v>
      </c>
      <c r="K69" s="1">
        <v>-346302000</v>
      </c>
      <c r="L69" s="1">
        <v>-185181000</v>
      </c>
      <c r="M69" s="1">
        <v>-51186000</v>
      </c>
      <c r="N69" s="1">
        <v>-405737000</v>
      </c>
      <c r="O69" s="1" t="s">
        <v>91</v>
      </c>
      <c r="P69" s="1">
        <v>-8375000</v>
      </c>
    </row>
    <row r="70" spans="1:16" ht="19" x14ac:dyDescent="0.25">
      <c r="A70" s="5" t="s">
        <v>61</v>
      </c>
      <c r="B70" s="1" t="s">
        <v>91</v>
      </c>
      <c r="C70" s="1">
        <v>-2707000</v>
      </c>
      <c r="D70" s="1">
        <v>83000</v>
      </c>
      <c r="E70" s="1">
        <v>52000</v>
      </c>
      <c r="F70" s="1">
        <v>229000</v>
      </c>
      <c r="G70" s="1">
        <v>-79000</v>
      </c>
      <c r="H70" s="1">
        <v>-210000</v>
      </c>
      <c r="I70" s="1">
        <v>-292000</v>
      </c>
      <c r="J70" s="1">
        <v>-656000</v>
      </c>
      <c r="K70" s="1">
        <v>742000</v>
      </c>
      <c r="L70" s="1">
        <v>-923000</v>
      </c>
      <c r="M70" s="1">
        <v>434000</v>
      </c>
      <c r="N70" s="1">
        <v>-2020000</v>
      </c>
      <c r="O70" s="1" t="s">
        <v>91</v>
      </c>
      <c r="P70" s="1">
        <v>-10882000</v>
      </c>
    </row>
    <row r="71" spans="1:16" ht="19" x14ac:dyDescent="0.25">
      <c r="A71" s="5" t="s">
        <v>62</v>
      </c>
      <c r="B71" s="1" t="s">
        <v>91</v>
      </c>
      <c r="C71" s="1">
        <v>4110000</v>
      </c>
      <c r="D71" s="1">
        <v>124811000</v>
      </c>
      <c r="E71" s="1">
        <v>183629000</v>
      </c>
      <c r="F71" s="1">
        <v>192916000</v>
      </c>
      <c r="G71" s="1">
        <v>208022000</v>
      </c>
      <c r="H71" s="1">
        <v>224732000</v>
      </c>
      <c r="I71" s="1">
        <v>252126000</v>
      </c>
      <c r="J71" s="1">
        <v>287256000</v>
      </c>
      <c r="K71" s="1">
        <v>353335000</v>
      </c>
      <c r="L71" s="1">
        <v>458315000</v>
      </c>
      <c r="M71" s="1">
        <v>534744000</v>
      </c>
      <c r="N71" s="1">
        <v>837924000</v>
      </c>
      <c r="O71" s="1">
        <v>610053000</v>
      </c>
      <c r="P71" s="1">
        <v>833948000</v>
      </c>
    </row>
    <row r="72" spans="1:16" ht="19" x14ac:dyDescent="0.25">
      <c r="A72" s="6" t="s">
        <v>63</v>
      </c>
      <c r="B72" s="10" t="s">
        <v>91</v>
      </c>
      <c r="C72" s="10">
        <v>38481000</v>
      </c>
      <c r="D72" s="10">
        <v>33092000</v>
      </c>
      <c r="E72" s="10">
        <v>56655000</v>
      </c>
      <c r="F72" s="10">
        <v>40206000</v>
      </c>
      <c r="G72" s="10">
        <v>46952000</v>
      </c>
      <c r="H72" s="10">
        <v>41449000</v>
      </c>
      <c r="I72" s="10">
        <v>1300000</v>
      </c>
      <c r="J72" s="10">
        <v>-9126000</v>
      </c>
      <c r="K72" s="10">
        <v>7776000</v>
      </c>
      <c r="L72" s="10">
        <v>272212000</v>
      </c>
      <c r="M72" s="10">
        <v>483993000</v>
      </c>
      <c r="N72" s="10">
        <v>430168000</v>
      </c>
      <c r="O72" s="10">
        <v>610053000</v>
      </c>
      <c r="P72" s="10">
        <v>825573000</v>
      </c>
    </row>
    <row r="73" spans="1:16" ht="20" thickBot="1" x14ac:dyDescent="0.3">
      <c r="A73" s="7" t="s">
        <v>64</v>
      </c>
      <c r="B73" s="11" t="s">
        <v>91</v>
      </c>
      <c r="C73" s="11">
        <v>59504000</v>
      </c>
      <c r="D73" s="11">
        <v>104759000</v>
      </c>
      <c r="E73" s="11">
        <v>122291000</v>
      </c>
      <c r="F73" s="11">
        <v>116669000</v>
      </c>
      <c r="G73" s="11">
        <v>152192000</v>
      </c>
      <c r="H73" s="11">
        <v>165528000</v>
      </c>
      <c r="I73" s="11">
        <v>163576000</v>
      </c>
      <c r="J73" s="11">
        <v>169147000</v>
      </c>
      <c r="K73" s="11">
        <v>339937000</v>
      </c>
      <c r="L73" s="11">
        <v>713223000</v>
      </c>
      <c r="M73" s="11">
        <v>1200102000</v>
      </c>
      <c r="N73" s="11">
        <v>2079256000</v>
      </c>
      <c r="O73" s="11">
        <v>2697835000</v>
      </c>
      <c r="P73" s="11">
        <v>3084280000</v>
      </c>
    </row>
    <row r="74" spans="1:16"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row>
    <row r="75" spans="1:16"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row>
    <row r="76" spans="1:16" ht="19" x14ac:dyDescent="0.25">
      <c r="A76" s="5" t="s">
        <v>66</v>
      </c>
      <c r="B76" s="1" t="s">
        <v>91</v>
      </c>
      <c r="C76" s="1">
        <v>-16925000</v>
      </c>
      <c r="D76" s="1">
        <v>-21777000</v>
      </c>
      <c r="E76" s="1">
        <v>-32290000</v>
      </c>
      <c r="F76" s="1">
        <v>-38218000</v>
      </c>
      <c r="G76" s="1">
        <v>-25913000</v>
      </c>
      <c r="H76" s="1">
        <v>-8052000</v>
      </c>
      <c r="I76" s="1">
        <v>-22082000</v>
      </c>
      <c r="J76" s="1">
        <v>-67462000</v>
      </c>
      <c r="K76" s="1">
        <v>-45192000</v>
      </c>
      <c r="L76" s="1">
        <v>-11627000</v>
      </c>
      <c r="M76" s="1">
        <v>161148000</v>
      </c>
      <c r="N76" s="1">
        <v>133995000</v>
      </c>
      <c r="O76" s="1">
        <v>145449000</v>
      </c>
      <c r="P76" s="1">
        <v>397362000</v>
      </c>
    </row>
    <row r="77" spans="1:16" ht="19" x14ac:dyDescent="0.25">
      <c r="A77" s="5" t="s">
        <v>13</v>
      </c>
      <c r="B77" s="1" t="s">
        <v>91</v>
      </c>
      <c r="C77" s="1">
        <v>803000</v>
      </c>
      <c r="D77" s="1">
        <v>1550000</v>
      </c>
      <c r="E77" s="1">
        <v>3032000</v>
      </c>
      <c r="F77" s="1">
        <v>5568000</v>
      </c>
      <c r="G77" s="1">
        <v>6981000</v>
      </c>
      <c r="H77" s="1">
        <v>8259000</v>
      </c>
      <c r="I77" s="1">
        <v>10539000</v>
      </c>
      <c r="J77" s="1">
        <v>10638000</v>
      </c>
      <c r="K77" s="1">
        <v>9004000</v>
      </c>
      <c r="L77" s="1">
        <v>9667000</v>
      </c>
      <c r="M77" s="1">
        <v>14119000</v>
      </c>
      <c r="N77" s="1">
        <v>18103000</v>
      </c>
      <c r="O77" s="1">
        <v>32439000</v>
      </c>
      <c r="P77" s="1">
        <v>56143000</v>
      </c>
    </row>
    <row r="78" spans="1:16" ht="19" x14ac:dyDescent="0.25">
      <c r="A78" s="5" t="s">
        <v>67</v>
      </c>
      <c r="B78" s="1" t="s">
        <v>91</v>
      </c>
      <c r="C78" s="1" t="s">
        <v>91</v>
      </c>
      <c r="D78" s="1" t="s">
        <v>91</v>
      </c>
      <c r="E78" s="1" t="s">
        <v>91</v>
      </c>
      <c r="F78" s="1" t="s">
        <v>91</v>
      </c>
      <c r="G78" s="1" t="s">
        <v>91</v>
      </c>
      <c r="H78" s="1" t="s">
        <v>91</v>
      </c>
      <c r="I78" s="1">
        <v>642000</v>
      </c>
      <c r="J78" s="1">
        <v>651000</v>
      </c>
      <c r="K78" s="1">
        <v>-1394000</v>
      </c>
      <c r="L78" s="1">
        <v>123000</v>
      </c>
      <c r="M78" s="1">
        <v>-73375000</v>
      </c>
      <c r="N78" s="1">
        <v>-17117000</v>
      </c>
      <c r="O78" s="1">
        <v>-31241000</v>
      </c>
      <c r="P78" s="1">
        <v>3633000</v>
      </c>
    </row>
    <row r="79" spans="1:16" ht="19" x14ac:dyDescent="0.25">
      <c r="A79" s="5" t="s">
        <v>68</v>
      </c>
      <c r="B79" s="1" t="s">
        <v>91</v>
      </c>
      <c r="C79" s="1">
        <v>180000</v>
      </c>
      <c r="D79" s="1">
        <v>829000</v>
      </c>
      <c r="E79" s="1">
        <v>2120000</v>
      </c>
      <c r="F79" s="1">
        <v>4766000</v>
      </c>
      <c r="G79" s="1">
        <v>6849000</v>
      </c>
      <c r="H79" s="1">
        <v>9740000</v>
      </c>
      <c r="I79" s="1">
        <v>12696000</v>
      </c>
      <c r="J79" s="1">
        <v>10326000</v>
      </c>
      <c r="K79" s="1">
        <v>6727000</v>
      </c>
      <c r="L79" s="1">
        <v>11432000</v>
      </c>
      <c r="M79" s="1">
        <v>20176000</v>
      </c>
      <c r="N79" s="1">
        <v>42503000</v>
      </c>
      <c r="O79" s="1">
        <v>114286000</v>
      </c>
      <c r="P79" s="1">
        <v>216802000</v>
      </c>
    </row>
    <row r="80" spans="1:16" ht="19" x14ac:dyDescent="0.25">
      <c r="A80" s="14" t="s">
        <v>103</v>
      </c>
      <c r="B80" s="15" t="e">
        <f t="shared" ref="B80:P80" si="17">B79/B3</f>
        <v>#VALUE!</v>
      </c>
      <c r="C80" s="15">
        <f t="shared" si="17"/>
        <v>8.9135386748539162E-3</v>
      </c>
      <c r="D80" s="15">
        <f t="shared" si="17"/>
        <v>1.3444478681824816E-2</v>
      </c>
      <c r="E80" s="15">
        <f t="shared" si="17"/>
        <v>1.4178420711194933E-2</v>
      </c>
      <c r="F80" s="15">
        <f t="shared" si="17"/>
        <v>2.199577252882157E-2</v>
      </c>
      <c r="G80" s="15">
        <f t="shared" si="17"/>
        <v>2.9414290990611821E-2</v>
      </c>
      <c r="H80" s="15">
        <f t="shared" si="17"/>
        <v>2.8321857262491857E-2</v>
      </c>
      <c r="I80" s="15">
        <f t="shared" si="17"/>
        <v>3.5538238035655804E-2</v>
      </c>
      <c r="J80" s="15">
        <f t="shared" si="17"/>
        <v>3.200957249272298E-2</v>
      </c>
      <c r="K80" s="15">
        <f t="shared" si="17"/>
        <v>2.350733490351754E-2</v>
      </c>
      <c r="L80" s="15">
        <f t="shared" si="17"/>
        <v>3.615902125196499E-2</v>
      </c>
      <c r="M80" s="15">
        <f t="shared" si="17"/>
        <v>3.2316087728824203E-2</v>
      </c>
      <c r="N80" s="15">
        <f t="shared" si="17"/>
        <v>5.488330051328405E-2</v>
      </c>
      <c r="O80" s="15">
        <f t="shared" si="17"/>
        <v>8.2693160662176232E-2</v>
      </c>
      <c r="P80" s="15">
        <f t="shared" si="17"/>
        <v>9.3014016756955503E-2</v>
      </c>
    </row>
    <row r="81" spans="1:24" ht="19" x14ac:dyDescent="0.25">
      <c r="A81" s="5" t="s">
        <v>69</v>
      </c>
      <c r="B81" s="1" t="s">
        <v>91</v>
      </c>
      <c r="C81" s="1">
        <v>-3269000</v>
      </c>
      <c r="D81" s="1">
        <v>1243000</v>
      </c>
      <c r="E81" s="1">
        <v>24488000</v>
      </c>
      <c r="F81" s="1">
        <v>-22206000</v>
      </c>
      <c r="G81" s="1">
        <v>10022000</v>
      </c>
      <c r="H81" s="1">
        <v>12832000</v>
      </c>
      <c r="I81" s="1">
        <v>-23315000</v>
      </c>
      <c r="J81" s="1">
        <v>7102000</v>
      </c>
      <c r="K81" s="1">
        <v>-1417000</v>
      </c>
      <c r="L81" s="1">
        <v>1524000</v>
      </c>
      <c r="M81" s="1">
        <v>1425000</v>
      </c>
      <c r="N81" s="1">
        <v>-24653000</v>
      </c>
      <c r="O81" s="1">
        <v>15063000</v>
      </c>
      <c r="P81" s="1">
        <v>70877000</v>
      </c>
    </row>
    <row r="82" spans="1:24" ht="19" x14ac:dyDescent="0.25">
      <c r="A82" s="5" t="s">
        <v>70</v>
      </c>
      <c r="B82" s="1" t="s">
        <v>91</v>
      </c>
      <c r="C82" s="1">
        <v>-5691000</v>
      </c>
      <c r="D82" s="1">
        <v>-1655000</v>
      </c>
      <c r="E82" s="1">
        <v>-9874000</v>
      </c>
      <c r="F82" s="1">
        <v>-11040000</v>
      </c>
      <c r="G82" s="1">
        <v>-5019000</v>
      </c>
      <c r="H82" s="1">
        <v>-13746000</v>
      </c>
      <c r="I82" s="1">
        <v>-2482000</v>
      </c>
      <c r="J82" s="1">
        <v>-18017000</v>
      </c>
      <c r="K82" s="1">
        <v>-4803000</v>
      </c>
      <c r="L82" s="1">
        <v>-13515000</v>
      </c>
      <c r="M82" s="1">
        <v>-68745000</v>
      </c>
      <c r="N82" s="1">
        <v>-34321000</v>
      </c>
      <c r="O82" s="1">
        <v>-151160000</v>
      </c>
      <c r="P82" s="1">
        <v>-107556000</v>
      </c>
    </row>
    <row r="83" spans="1:24" ht="21" x14ac:dyDescent="0.25">
      <c r="A83" s="5" t="s">
        <v>34</v>
      </c>
      <c r="B83" s="1" t="s">
        <v>91</v>
      </c>
      <c r="C83" s="1">
        <v>-700000</v>
      </c>
      <c r="D83" s="1">
        <v>-3038000</v>
      </c>
      <c r="E83" s="1">
        <v>-6708000</v>
      </c>
      <c r="F83" s="1">
        <v>-8615000</v>
      </c>
      <c r="G83" s="1">
        <v>3263000</v>
      </c>
      <c r="H83" s="1">
        <v>-5010000</v>
      </c>
      <c r="I83" s="1">
        <v>-19210000</v>
      </c>
      <c r="J83" s="1">
        <v>8840000</v>
      </c>
      <c r="K83" s="1">
        <v>5961000</v>
      </c>
      <c r="L83" s="1">
        <v>9732000</v>
      </c>
      <c r="M83" s="1">
        <v>-15789000</v>
      </c>
      <c r="N83" s="1">
        <v>-9708000</v>
      </c>
      <c r="O83" s="1">
        <v>-29258000</v>
      </c>
      <c r="P83" s="1">
        <v>-75273000</v>
      </c>
      <c r="W83" s="67" t="s">
        <v>125</v>
      </c>
      <c r="X83" s="68"/>
    </row>
    <row r="84" spans="1:24" ht="19" x14ac:dyDescent="0.25">
      <c r="A84" s="5" t="s">
        <v>47</v>
      </c>
      <c r="B84" s="1" t="s">
        <v>91</v>
      </c>
      <c r="C84" s="1" t="s">
        <v>91</v>
      </c>
      <c r="D84" s="1" t="s">
        <v>91</v>
      </c>
      <c r="E84" s="1" t="s">
        <v>91</v>
      </c>
      <c r="F84" s="1">
        <v>16774000</v>
      </c>
      <c r="G84" s="1">
        <v>7641000</v>
      </c>
      <c r="H84" s="1">
        <v>25325000</v>
      </c>
      <c r="I84" s="1">
        <v>-2620000</v>
      </c>
      <c r="J84" s="1">
        <v>8897000</v>
      </c>
      <c r="K84" s="1">
        <v>-5078000</v>
      </c>
      <c r="L84" s="1">
        <v>23082000</v>
      </c>
      <c r="M84" s="1">
        <v>22200000</v>
      </c>
      <c r="N84" s="1">
        <v>35695000</v>
      </c>
      <c r="O84" s="1">
        <v>117183000</v>
      </c>
      <c r="P84" s="1">
        <v>133416000</v>
      </c>
      <c r="W84" s="69" t="s">
        <v>126</v>
      </c>
      <c r="X84" s="70"/>
    </row>
    <row r="85" spans="1:24" ht="20" x14ac:dyDescent="0.25">
      <c r="A85" s="5" t="s">
        <v>71</v>
      </c>
      <c r="B85" s="1" t="s">
        <v>91</v>
      </c>
      <c r="C85" s="1">
        <v>108000</v>
      </c>
      <c r="D85" s="1">
        <v>1357000</v>
      </c>
      <c r="E85" s="1">
        <v>25443000</v>
      </c>
      <c r="F85" s="1">
        <v>-18614000</v>
      </c>
      <c r="G85" s="1">
        <v>5587000</v>
      </c>
      <c r="H85" s="1">
        <v>5302000</v>
      </c>
      <c r="I85" s="1">
        <v>9671000</v>
      </c>
      <c r="J85" s="1">
        <v>11274000</v>
      </c>
      <c r="K85" s="1">
        <v>5328000</v>
      </c>
      <c r="L85" s="1">
        <v>-16123000</v>
      </c>
      <c r="M85" s="1">
        <v>72248000</v>
      </c>
      <c r="N85" s="1">
        <v>-10498000</v>
      </c>
      <c r="O85" s="1">
        <v>78167000</v>
      </c>
      <c r="P85" s="1" t="s">
        <v>91</v>
      </c>
      <c r="W85" s="23" t="s">
        <v>127</v>
      </c>
      <c r="X85" s="24">
        <f>P17</f>
        <v>9438000</v>
      </c>
    </row>
    <row r="86" spans="1:24" ht="20" x14ac:dyDescent="0.25">
      <c r="A86" s="5" t="s">
        <v>72</v>
      </c>
      <c r="B86" s="1" t="s">
        <v>91</v>
      </c>
      <c r="C86" s="1">
        <v>324000</v>
      </c>
      <c r="D86" s="1">
        <v>303000</v>
      </c>
      <c r="E86" s="1">
        <v>2283000</v>
      </c>
      <c r="F86" s="1">
        <v>5445000</v>
      </c>
      <c r="G86" s="1">
        <v>1189000</v>
      </c>
      <c r="H86" s="1">
        <v>1443000</v>
      </c>
      <c r="I86" s="1">
        <v>360000</v>
      </c>
      <c r="J86" s="1">
        <v>5792000</v>
      </c>
      <c r="K86" s="1">
        <v>3830000</v>
      </c>
      <c r="L86" s="1">
        <v>5013000</v>
      </c>
      <c r="M86" s="1">
        <v>15574000</v>
      </c>
      <c r="N86" s="1">
        <v>63503000</v>
      </c>
      <c r="O86" s="1">
        <v>76032000</v>
      </c>
      <c r="P86" s="1" t="s">
        <v>91</v>
      </c>
      <c r="W86" s="23" t="s">
        <v>128</v>
      </c>
      <c r="X86" s="24">
        <f>P56</f>
        <v>90892000</v>
      </c>
    </row>
    <row r="87" spans="1:24" ht="20" x14ac:dyDescent="0.25">
      <c r="A87" s="6" t="s">
        <v>73</v>
      </c>
      <c r="B87" s="10" t="s">
        <v>91</v>
      </c>
      <c r="C87" s="10">
        <v>-18887000</v>
      </c>
      <c r="D87" s="10">
        <v>-17852000</v>
      </c>
      <c r="E87" s="10">
        <v>-367000</v>
      </c>
      <c r="F87" s="10">
        <v>-44645000</v>
      </c>
      <c r="G87" s="10">
        <v>-872000</v>
      </c>
      <c r="H87" s="10">
        <v>24222000</v>
      </c>
      <c r="I87" s="10">
        <v>-21160000</v>
      </c>
      <c r="J87" s="10">
        <v>-32953000</v>
      </c>
      <c r="K87" s="10">
        <v>-28442000</v>
      </c>
      <c r="L87" s="10">
        <v>16132000</v>
      </c>
      <c r="M87" s="10">
        <v>139067000</v>
      </c>
      <c r="N87" s="10">
        <v>216334000</v>
      </c>
      <c r="O87" s="10">
        <v>352028000</v>
      </c>
      <c r="P87" s="10">
        <v>744817000</v>
      </c>
      <c r="W87" s="23" t="s">
        <v>129</v>
      </c>
      <c r="X87" s="24">
        <f>P61</f>
        <v>1199465000</v>
      </c>
    </row>
    <row r="88" spans="1:24" ht="20" x14ac:dyDescent="0.25">
      <c r="A88" s="5" t="s">
        <v>74</v>
      </c>
      <c r="B88" s="1" t="s">
        <v>91</v>
      </c>
      <c r="C88" s="1">
        <v>-2134000</v>
      </c>
      <c r="D88" s="1">
        <v>-3262000</v>
      </c>
      <c r="E88" s="1">
        <v>-14662000</v>
      </c>
      <c r="F88" s="1">
        <v>-12990000</v>
      </c>
      <c r="G88" s="1">
        <v>-6257000</v>
      </c>
      <c r="H88" s="1">
        <v>-13249000</v>
      </c>
      <c r="I88" s="1">
        <v>-12525000</v>
      </c>
      <c r="J88" s="1">
        <v>-12167000</v>
      </c>
      <c r="K88" s="1">
        <v>-4121000</v>
      </c>
      <c r="L88" s="1">
        <v>-4151000</v>
      </c>
      <c r="M88" s="1">
        <v>-14788000</v>
      </c>
      <c r="N88" s="1">
        <v>-20558000</v>
      </c>
      <c r="O88" s="1">
        <v>-52258000</v>
      </c>
      <c r="P88" s="1">
        <v>-46443000</v>
      </c>
      <c r="W88" s="31" t="s">
        <v>130</v>
      </c>
      <c r="X88" s="32">
        <f>X85/(X86+X87)</f>
        <v>7.314254892250749E-3</v>
      </c>
    </row>
    <row r="89" spans="1:24" ht="20" customHeight="1" x14ac:dyDescent="0.25">
      <c r="A89" s="14" t="s">
        <v>104</v>
      </c>
      <c r="B89" s="15" t="e">
        <f t="shared" ref="B89:P89" si="18">(-1*B88)/B3</f>
        <v>#VALUE!</v>
      </c>
      <c r="C89" s="15">
        <f t="shared" si="18"/>
        <v>0.10567495295632366</v>
      </c>
      <c r="D89" s="15">
        <f t="shared" si="18"/>
        <v>5.2902158576734075E-2</v>
      </c>
      <c r="E89" s="15">
        <f t="shared" si="18"/>
        <v>9.8058492673367983E-2</v>
      </c>
      <c r="F89" s="15">
        <f t="shared" si="18"/>
        <v>5.9950710270539692E-2</v>
      </c>
      <c r="G89" s="15">
        <f t="shared" si="18"/>
        <v>2.6871838038875481E-2</v>
      </c>
      <c r="H89" s="15">
        <f t="shared" si="18"/>
        <v>3.8525286126360844E-2</v>
      </c>
      <c r="I89" s="15">
        <f t="shared" si="18"/>
        <v>3.5059580292737001E-2</v>
      </c>
      <c r="J89" s="15">
        <f t="shared" si="18"/>
        <v>3.7716489300693448E-2</v>
      </c>
      <c r="K89" s="15">
        <f t="shared" si="18"/>
        <v>1.4400732442009184E-2</v>
      </c>
      <c r="L89" s="15">
        <f t="shared" si="18"/>
        <v>1.312946966557966E-2</v>
      </c>
      <c r="M89" s="15">
        <f t="shared" si="18"/>
        <v>2.3686077782209172E-2</v>
      </c>
      <c r="N89" s="15">
        <f t="shared" si="18"/>
        <v>2.6546147141427511E-2</v>
      </c>
      <c r="O89" s="15">
        <f t="shared" si="18"/>
        <v>3.7811973381551595E-2</v>
      </c>
      <c r="P89" s="15">
        <f t="shared" si="18"/>
        <v>1.9925323475997844E-2</v>
      </c>
      <c r="W89" s="23" t="s">
        <v>105</v>
      </c>
      <c r="X89" s="24">
        <f>P27</f>
        <v>54686000</v>
      </c>
    </row>
    <row r="90" spans="1:24" ht="20" x14ac:dyDescent="0.25">
      <c r="A90" s="5" t="s">
        <v>75</v>
      </c>
      <c r="B90" s="1" t="s">
        <v>91</v>
      </c>
      <c r="C90" s="1" t="s">
        <v>91</v>
      </c>
      <c r="D90" s="1" t="s">
        <v>91</v>
      </c>
      <c r="E90" s="1" t="s">
        <v>91</v>
      </c>
      <c r="F90" s="1" t="s">
        <v>91</v>
      </c>
      <c r="G90" s="1" t="s">
        <v>91</v>
      </c>
      <c r="H90" s="1">
        <v>-2235000</v>
      </c>
      <c r="I90" s="1" t="s">
        <v>91</v>
      </c>
      <c r="J90" s="1">
        <v>1050000</v>
      </c>
      <c r="K90" s="1" t="s">
        <v>91</v>
      </c>
      <c r="L90" s="1">
        <v>-15000000</v>
      </c>
      <c r="M90" s="1" t="s">
        <v>91</v>
      </c>
      <c r="N90" s="1">
        <v>-5010000</v>
      </c>
      <c r="O90" s="1">
        <v>-235652000</v>
      </c>
      <c r="P90" s="1">
        <v>-62162000</v>
      </c>
      <c r="W90" s="23" t="s">
        <v>19</v>
      </c>
      <c r="X90" s="24">
        <f>P25</f>
        <v>452048000</v>
      </c>
    </row>
    <row r="91" spans="1:24"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v>-5010000</v>
      </c>
      <c r="O91" s="1">
        <v>-992956000</v>
      </c>
      <c r="P91" s="1">
        <v>-910062000</v>
      </c>
      <c r="W91" s="31" t="s">
        <v>131</v>
      </c>
      <c r="X91" s="32">
        <f>X89/X90</f>
        <v>0.12097387888011893</v>
      </c>
    </row>
    <row r="92" spans="1:24"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v>61569000</v>
      </c>
      <c r="P92" s="1">
        <v>660129000</v>
      </c>
      <c r="W92" s="33" t="s">
        <v>132</v>
      </c>
      <c r="X92" s="34">
        <f>X88*(1-X91)</f>
        <v>6.4294211068172897E-3</v>
      </c>
    </row>
    <row r="93" spans="1:24" ht="19" x14ac:dyDescent="0.25">
      <c r="A93" s="5" t="s">
        <v>78</v>
      </c>
      <c r="B93" s="1" t="s">
        <v>91</v>
      </c>
      <c r="C93" s="1">
        <v>12000</v>
      </c>
      <c r="D93" s="1" t="s">
        <v>91</v>
      </c>
      <c r="E93" s="1" t="s">
        <v>91</v>
      </c>
      <c r="F93" s="1" t="s">
        <v>91</v>
      </c>
      <c r="G93" s="1" t="s">
        <v>91</v>
      </c>
      <c r="H93" s="1">
        <v>-1050000</v>
      </c>
      <c r="I93" s="1">
        <v>63000</v>
      </c>
      <c r="J93" s="1">
        <v>-678000</v>
      </c>
      <c r="K93" s="1" t="s">
        <v>91</v>
      </c>
      <c r="L93" s="1" t="s">
        <v>91</v>
      </c>
      <c r="M93" s="1" t="s">
        <v>91</v>
      </c>
      <c r="N93" s="1">
        <v>5010000</v>
      </c>
      <c r="O93" s="1">
        <v>-250000</v>
      </c>
      <c r="P93" s="1">
        <v>-13368000</v>
      </c>
      <c r="W93" s="71" t="s">
        <v>133</v>
      </c>
      <c r="X93" s="72"/>
    </row>
    <row r="94" spans="1:24" ht="20" x14ac:dyDescent="0.25">
      <c r="A94" s="6" t="s">
        <v>79</v>
      </c>
      <c r="B94" s="10" t="s">
        <v>91</v>
      </c>
      <c r="C94" s="10">
        <v>-2122000</v>
      </c>
      <c r="D94" s="10">
        <v>-3262000</v>
      </c>
      <c r="E94" s="10">
        <v>-14662000</v>
      </c>
      <c r="F94" s="10">
        <v>-12990000</v>
      </c>
      <c r="G94" s="10">
        <v>-6257000</v>
      </c>
      <c r="H94" s="10">
        <v>-16534000</v>
      </c>
      <c r="I94" s="10">
        <v>-12462000</v>
      </c>
      <c r="J94" s="10">
        <v>-11795000</v>
      </c>
      <c r="K94" s="10">
        <v>-4121000</v>
      </c>
      <c r="L94" s="10">
        <v>-19151000</v>
      </c>
      <c r="M94" s="10">
        <v>-14788000</v>
      </c>
      <c r="N94" s="10">
        <v>-25568000</v>
      </c>
      <c r="O94" s="10">
        <v>-1219547000</v>
      </c>
      <c r="P94" s="10">
        <v>-371906000</v>
      </c>
      <c r="W94" s="23" t="s">
        <v>134</v>
      </c>
      <c r="X94" s="35">
        <f>[1]Treasuries!$C$8</f>
        <v>3.739E-2</v>
      </c>
    </row>
    <row r="95" spans="1:24" ht="20" x14ac:dyDescent="0.25">
      <c r="A95" s="5" t="s">
        <v>80</v>
      </c>
      <c r="B95" s="1" t="s">
        <v>91</v>
      </c>
      <c r="C95" s="1">
        <v>-230000</v>
      </c>
      <c r="D95" s="1">
        <v>-243000</v>
      </c>
      <c r="E95" s="1">
        <v>-2032000</v>
      </c>
      <c r="F95" s="1">
        <v>-14199000</v>
      </c>
      <c r="G95" s="1">
        <v>-2487000</v>
      </c>
      <c r="H95" s="1">
        <v>-8708000</v>
      </c>
      <c r="I95" s="1">
        <v>-29000000</v>
      </c>
      <c r="J95" s="1">
        <v>-16900000</v>
      </c>
      <c r="K95" s="1">
        <v>-10100000</v>
      </c>
      <c r="L95" s="1">
        <v>-9976000</v>
      </c>
      <c r="M95" s="1">
        <v>-51855000</v>
      </c>
      <c r="N95" s="1">
        <v>-43303000</v>
      </c>
      <c r="O95" s="1">
        <v>-291941000</v>
      </c>
      <c r="P95" s="1" t="s">
        <v>91</v>
      </c>
      <c r="W95" s="23" t="s">
        <v>135</v>
      </c>
      <c r="X95" s="36" cm="1">
        <f t="array" ref="X95">_FV(A1,"Beta")</f>
        <v>1.4594</v>
      </c>
    </row>
    <row r="96" spans="1:24" ht="20" x14ac:dyDescent="0.25">
      <c r="A96" s="5" t="s">
        <v>81</v>
      </c>
      <c r="B96" s="1" t="s">
        <v>91</v>
      </c>
      <c r="C96" s="1" t="s">
        <v>91</v>
      </c>
      <c r="D96" s="1" t="s">
        <v>91</v>
      </c>
      <c r="E96" s="1">
        <v>1858000</v>
      </c>
      <c r="F96" s="1">
        <v>58609000</v>
      </c>
      <c r="G96" s="1" t="s">
        <v>91</v>
      </c>
      <c r="H96" s="1" t="s">
        <v>91</v>
      </c>
      <c r="I96" s="1" t="s">
        <v>91</v>
      </c>
      <c r="J96" s="1">
        <v>16142000</v>
      </c>
      <c r="K96" s="1">
        <v>26425000</v>
      </c>
      <c r="L96" s="1">
        <v>19766000</v>
      </c>
      <c r="M96" s="1" t="s">
        <v>91</v>
      </c>
      <c r="N96" s="1" t="s">
        <v>91</v>
      </c>
      <c r="O96" s="1" t="s">
        <v>91</v>
      </c>
      <c r="P96" s="1" t="s">
        <v>91</v>
      </c>
      <c r="W96" s="23" t="s">
        <v>136</v>
      </c>
      <c r="X96" s="35">
        <v>8.4000000000000005E-2</v>
      </c>
    </row>
    <row r="97" spans="1:24"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O97" s="1">
        <v>-500000000</v>
      </c>
      <c r="P97" s="1" t="s">
        <v>91</v>
      </c>
      <c r="W97" s="33" t="s">
        <v>137</v>
      </c>
      <c r="X97" s="34">
        <f>(X94)+((X95)*(X96-X94))</f>
        <v>0.10541263400000001</v>
      </c>
    </row>
    <row r="98" spans="1:24"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v>0</v>
      </c>
      <c r="W98" s="71" t="s">
        <v>138</v>
      </c>
      <c r="X98" s="72"/>
    </row>
    <row r="99" spans="1:24" ht="20" x14ac:dyDescent="0.25">
      <c r="A99" s="5" t="s">
        <v>84</v>
      </c>
      <c r="B99" s="1" t="s">
        <v>91</v>
      </c>
      <c r="C99" s="1">
        <v>25745000</v>
      </c>
      <c r="D99" s="1">
        <v>52708000</v>
      </c>
      <c r="E99" s="1">
        <v>26656000</v>
      </c>
      <c r="F99" s="1">
        <v>7026000</v>
      </c>
      <c r="G99" s="1">
        <v>2429000</v>
      </c>
      <c r="H99" s="1">
        <v>5366000</v>
      </c>
      <c r="I99" s="1">
        <v>49564000</v>
      </c>
      <c r="J99" s="1">
        <v>35133000</v>
      </c>
      <c r="K99" s="1">
        <v>26972000</v>
      </c>
      <c r="L99" s="1">
        <v>70824000</v>
      </c>
      <c r="M99" s="1">
        <v>117705000</v>
      </c>
      <c r="N99" s="1">
        <v>234981000</v>
      </c>
      <c r="O99" s="1">
        <v>1101352000</v>
      </c>
      <c r="P99" s="1">
        <v>-17126000</v>
      </c>
      <c r="W99" s="23" t="s">
        <v>139</v>
      </c>
      <c r="X99" s="24">
        <f>X86+X87</f>
        <v>1290357000</v>
      </c>
    </row>
    <row r="100" spans="1:24" ht="20" x14ac:dyDescent="0.25">
      <c r="A100" s="6" t="s">
        <v>85</v>
      </c>
      <c r="B100" s="10" t="s">
        <v>91</v>
      </c>
      <c r="C100" s="10">
        <v>25515000</v>
      </c>
      <c r="D100" s="10">
        <v>52465000</v>
      </c>
      <c r="E100" s="10">
        <v>26482000</v>
      </c>
      <c r="F100" s="10">
        <v>51436000</v>
      </c>
      <c r="G100" s="10">
        <v>-58000</v>
      </c>
      <c r="H100" s="10">
        <v>-3342000</v>
      </c>
      <c r="I100" s="10">
        <v>20564000</v>
      </c>
      <c r="J100" s="10">
        <v>34375000</v>
      </c>
      <c r="K100" s="10">
        <v>43297000</v>
      </c>
      <c r="L100" s="10">
        <v>80614000</v>
      </c>
      <c r="M100" s="10">
        <v>65850000</v>
      </c>
      <c r="N100" s="10">
        <v>191678000</v>
      </c>
      <c r="O100" s="10">
        <v>309411000</v>
      </c>
      <c r="P100" s="10">
        <v>-17126000</v>
      </c>
      <c r="W100" s="31" t="s">
        <v>140</v>
      </c>
      <c r="X100" s="32">
        <f>X99/X103</f>
        <v>5.5837651261531625E-2</v>
      </c>
    </row>
    <row r="101" spans="1:24" ht="20" x14ac:dyDescent="0.25">
      <c r="A101" s="5" t="s">
        <v>86</v>
      </c>
      <c r="B101" s="1" t="s">
        <v>91</v>
      </c>
      <c r="C101" s="1" t="s">
        <v>91</v>
      </c>
      <c r="D101" s="1" t="s">
        <v>91</v>
      </c>
      <c r="E101" s="1">
        <v>78000</v>
      </c>
      <c r="F101" s="1">
        <v>-31000</v>
      </c>
      <c r="G101" s="1">
        <v>83000</v>
      </c>
      <c r="H101" s="1">
        <v>-504000</v>
      </c>
      <c r="I101" s="1">
        <v>-522000</v>
      </c>
      <c r="J101" s="1">
        <v>-315000</v>
      </c>
      <c r="K101" s="1">
        <v>646000</v>
      </c>
      <c r="L101" s="1">
        <v>-502000</v>
      </c>
      <c r="M101" s="1">
        <v>-257000</v>
      </c>
      <c r="N101" s="1">
        <v>826000</v>
      </c>
      <c r="O101" s="1">
        <v>-1955000</v>
      </c>
      <c r="P101" s="1">
        <v>-1857000</v>
      </c>
      <c r="W101" s="23" t="s">
        <v>141</v>
      </c>
      <c r="X101" s="37" cm="1">
        <f t="array" ref="X101">_FV(A1,"Market cap",TRUE)</f>
        <v>21818727477</v>
      </c>
    </row>
    <row r="102" spans="1:24" ht="20" x14ac:dyDescent="0.25">
      <c r="A102" s="6" t="s">
        <v>87</v>
      </c>
      <c r="B102" s="10" t="s">
        <v>91</v>
      </c>
      <c r="C102" s="10">
        <v>4506000</v>
      </c>
      <c r="D102" s="10">
        <v>31351000</v>
      </c>
      <c r="E102" s="10">
        <v>11531000</v>
      </c>
      <c r="F102" s="10">
        <v>-6230000</v>
      </c>
      <c r="G102" s="10">
        <v>-7104000</v>
      </c>
      <c r="H102" s="10">
        <v>3842000</v>
      </c>
      <c r="I102" s="10">
        <v>-13580000</v>
      </c>
      <c r="J102" s="10">
        <v>-10688000</v>
      </c>
      <c r="K102" s="10">
        <v>11380000</v>
      </c>
      <c r="L102" s="10">
        <v>77093000</v>
      </c>
      <c r="M102" s="10">
        <v>189872000</v>
      </c>
      <c r="N102" s="10">
        <v>383270000</v>
      </c>
      <c r="O102" s="10">
        <v>-560063000</v>
      </c>
      <c r="P102" s="10">
        <v>353928000</v>
      </c>
      <c r="W102" s="31" t="s">
        <v>142</v>
      </c>
      <c r="X102" s="32">
        <f>X101/X103</f>
        <v>0.94416234873846838</v>
      </c>
    </row>
    <row r="103" spans="1:24" ht="20" x14ac:dyDescent="0.25">
      <c r="A103" s="5" t="s">
        <v>88</v>
      </c>
      <c r="B103" s="1" t="s">
        <v>91</v>
      </c>
      <c r="C103" s="1">
        <v>4136000</v>
      </c>
      <c r="D103" s="1">
        <v>8642000</v>
      </c>
      <c r="E103" s="1">
        <v>39993000</v>
      </c>
      <c r="F103" s="1">
        <v>51524000</v>
      </c>
      <c r="G103" s="1">
        <v>45294000</v>
      </c>
      <c r="H103" s="1">
        <v>38190000</v>
      </c>
      <c r="I103" s="1">
        <v>42032000</v>
      </c>
      <c r="J103" s="1">
        <v>28452000</v>
      </c>
      <c r="K103" s="1">
        <v>17764000</v>
      </c>
      <c r="L103" s="1">
        <v>29144000</v>
      </c>
      <c r="M103" s="1">
        <v>106237000</v>
      </c>
      <c r="N103" s="1">
        <v>296109000</v>
      </c>
      <c r="O103" s="1">
        <v>679379000</v>
      </c>
      <c r="P103" s="1">
        <v>119316000</v>
      </c>
      <c r="W103" s="33" t="s">
        <v>143</v>
      </c>
      <c r="X103" s="38">
        <f>X99+X101</f>
        <v>23109084477</v>
      </c>
    </row>
    <row r="104" spans="1:24" ht="20" thickBot="1" x14ac:dyDescent="0.3">
      <c r="A104" s="7" t="s">
        <v>89</v>
      </c>
      <c r="B104" s="11" t="s">
        <v>91</v>
      </c>
      <c r="C104" s="11">
        <v>8642000</v>
      </c>
      <c r="D104" s="11">
        <v>39993000</v>
      </c>
      <c r="E104" s="11">
        <v>51524000</v>
      </c>
      <c r="F104" s="11">
        <v>45294000</v>
      </c>
      <c r="G104" s="11">
        <v>38190000</v>
      </c>
      <c r="H104" s="11">
        <v>42032000</v>
      </c>
      <c r="I104" s="11">
        <v>28452000</v>
      </c>
      <c r="J104" s="11">
        <v>17764000</v>
      </c>
      <c r="K104" s="11">
        <v>29144000</v>
      </c>
      <c r="L104" s="11">
        <v>106237000</v>
      </c>
      <c r="M104" s="11">
        <v>296109000</v>
      </c>
      <c r="N104" s="11">
        <v>679379000</v>
      </c>
      <c r="O104" s="11">
        <v>119316000</v>
      </c>
      <c r="P104" s="11">
        <v>473244000</v>
      </c>
      <c r="W104" s="71" t="s">
        <v>144</v>
      </c>
      <c r="X104" s="72"/>
    </row>
    <row r="105" spans="1:24" ht="21" thickTop="1" x14ac:dyDescent="0.25">
      <c r="A105" s="14" t="s">
        <v>161</v>
      </c>
      <c r="C105" s="1">
        <f t="shared" ref="C105:O105" si="19">(C22*(1-$X$91))+C77+C88+C81</f>
        <v>-19274462.065975294</v>
      </c>
      <c r="D105" s="1">
        <f t="shared" si="19"/>
        <v>-18679784.151240576</v>
      </c>
      <c r="E105" s="1">
        <f t="shared" si="19"/>
        <v>-12380597.989594027</v>
      </c>
      <c r="F105" s="1">
        <f t="shared" si="19"/>
        <v>-57019332.960216612</v>
      </c>
      <c r="G105" s="1">
        <f t="shared" si="19"/>
        <v>-8731460.7917743251</v>
      </c>
      <c r="H105" s="1">
        <f t="shared" si="19"/>
        <v>3948793.3095600456</v>
      </c>
      <c r="I105" s="1">
        <f t="shared" si="19"/>
        <v>-42274115.372703783</v>
      </c>
      <c r="J105" s="1">
        <f t="shared" si="19"/>
        <v>-49541937.794216543</v>
      </c>
      <c r="K105" s="1">
        <f t="shared" si="19"/>
        <v>-31148290.597458676</v>
      </c>
      <c r="L105" s="1">
        <f t="shared" si="19"/>
        <v>8442925.6893073302</v>
      </c>
      <c r="M105" s="1">
        <f t="shared" si="19"/>
        <v>91057474.396524265</v>
      </c>
      <c r="N105" s="1">
        <f t="shared" si="19"/>
        <v>136776750.99546951</v>
      </c>
      <c r="O105" s="1">
        <f t="shared" si="19"/>
        <v>184965965.77354619</v>
      </c>
      <c r="P105" s="1">
        <f>(P22*(1-$X$91))+P77+P88+P81</f>
        <v>474610128.079319</v>
      </c>
      <c r="Q105" s="39">
        <f>P105*(1+$X$106)</f>
        <v>568799962.76207101</v>
      </c>
      <c r="R105" s="39">
        <f t="shared" ref="R105:U105" si="20">Q105*(1+$X$106)</f>
        <v>681682455.76095891</v>
      </c>
      <c r="S105" s="39">
        <f t="shared" si="20"/>
        <v>816967301.185763</v>
      </c>
      <c r="T105" s="39">
        <f t="shared" si="20"/>
        <v>979100408.9458251</v>
      </c>
      <c r="U105" s="39">
        <f t="shared" si="20"/>
        <v>1173410012.1345074</v>
      </c>
      <c r="V105" s="40" t="s">
        <v>162</v>
      </c>
      <c r="W105" s="25" t="s">
        <v>107</v>
      </c>
      <c r="X105" s="26">
        <f>(X100*X92)+(X102*X97)</f>
        <v>9.9885643877724528E-2</v>
      </c>
    </row>
    <row r="106" spans="1:24" ht="19" x14ac:dyDescent="0.25">
      <c r="A106" s="14" t="s">
        <v>106</v>
      </c>
      <c r="B106" s="1"/>
      <c r="C106" s="15" t="e">
        <f t="shared" ref="C106:P106" si="21">(C107/B107)-1</f>
        <v>#VALUE!</v>
      </c>
      <c r="D106" s="15">
        <f t="shared" si="21"/>
        <v>2.7069383103006661E-3</v>
      </c>
      <c r="E106" s="15">
        <f t="shared" si="21"/>
        <v>-0.28819740456569098</v>
      </c>
      <c r="F106" s="15">
        <f t="shared" si="21"/>
        <v>2.8349191562978242</v>
      </c>
      <c r="G106" s="15">
        <f t="shared" si="21"/>
        <v>-0.87630779908041989</v>
      </c>
      <c r="H106" s="15">
        <f t="shared" si="21"/>
        <v>-2.4340019638097909</v>
      </c>
      <c r="I106" s="15">
        <f t="shared" si="21"/>
        <v>-4.3182040496918717</v>
      </c>
      <c r="J106" s="15">
        <f t="shared" si="21"/>
        <v>0.35009728199988199</v>
      </c>
      <c r="K106" s="15">
        <f t="shared" si="21"/>
        <v>-0.28898641862090046</v>
      </c>
      <c r="L106" s="15">
        <f t="shared" si="21"/>
        <v>-1.3679329300125911</v>
      </c>
      <c r="M106" s="15">
        <f t="shared" si="21"/>
        <v>9.3730072614973707</v>
      </c>
      <c r="N106" s="15">
        <f t="shared" si="21"/>
        <v>0.57529429750802619</v>
      </c>
      <c r="O106" s="15">
        <f t="shared" si="21"/>
        <v>0.52991173586139251</v>
      </c>
      <c r="P106" s="15">
        <f t="shared" si="21"/>
        <v>1.3316439636752135</v>
      </c>
      <c r="Q106" s="63">
        <v>804700000</v>
      </c>
      <c r="R106" s="63">
        <v>1085000000</v>
      </c>
      <c r="S106" s="63">
        <v>1330000000</v>
      </c>
      <c r="T106" s="63">
        <v>1372000000</v>
      </c>
      <c r="U106" s="63">
        <v>1580000000</v>
      </c>
      <c r="V106" s="40" t="s">
        <v>163</v>
      </c>
      <c r="W106" s="41" t="s">
        <v>145</v>
      </c>
      <c r="X106" s="42">
        <f>(SUM(Q4:U4)/5)</f>
        <v>0.19845727916495423</v>
      </c>
    </row>
    <row r="107" spans="1:24" ht="19" x14ac:dyDescent="0.25">
      <c r="A107" s="62" t="s">
        <v>160</v>
      </c>
      <c r="B107" s="1" t="s">
        <v>91</v>
      </c>
      <c r="C107" s="1">
        <v>-21057000</v>
      </c>
      <c r="D107" s="1">
        <v>-21114000</v>
      </c>
      <c r="E107" s="1">
        <v>-15029000</v>
      </c>
      <c r="F107" s="1">
        <v>-57635000</v>
      </c>
      <c r="G107" s="1">
        <v>-7129000</v>
      </c>
      <c r="H107" s="1">
        <v>10223000</v>
      </c>
      <c r="I107" s="1">
        <v>-33922000</v>
      </c>
      <c r="J107" s="1">
        <v>-45798000</v>
      </c>
      <c r="K107" s="1">
        <v>-32563000</v>
      </c>
      <c r="L107" s="1">
        <v>11981000</v>
      </c>
      <c r="M107" s="1">
        <v>124279000</v>
      </c>
      <c r="N107" s="1">
        <v>195776000</v>
      </c>
      <c r="O107" s="1">
        <v>299520000</v>
      </c>
      <c r="P107" s="1">
        <v>698374000</v>
      </c>
      <c r="Q107" s="40"/>
      <c r="R107" s="40"/>
      <c r="S107" s="40"/>
      <c r="T107" s="40"/>
      <c r="U107" s="64">
        <f>U106*(1+X107)/(X108-X107)</f>
        <v>23286613812.235622</v>
      </c>
      <c r="V107" s="43" t="s">
        <v>146</v>
      </c>
      <c r="W107" s="44" t="s">
        <v>147</v>
      </c>
      <c r="X107" s="45">
        <v>0.03</v>
      </c>
    </row>
    <row r="108" spans="1:24" ht="19" x14ac:dyDescent="0.25">
      <c r="Q108" s="64">
        <f t="shared" ref="Q108:T108" si="22">Q107+Q106</f>
        <v>804700000</v>
      </c>
      <c r="R108" s="64">
        <f t="shared" si="22"/>
        <v>1085000000</v>
      </c>
      <c r="S108" s="64">
        <f t="shared" si="22"/>
        <v>1330000000</v>
      </c>
      <c r="T108" s="64">
        <f t="shared" si="22"/>
        <v>1372000000</v>
      </c>
      <c r="U108" s="64">
        <f>U107+U106</f>
        <v>24866613812.235622</v>
      </c>
      <c r="V108" s="43" t="s">
        <v>143</v>
      </c>
      <c r="W108" s="46" t="s">
        <v>148</v>
      </c>
      <c r="X108" s="47">
        <f>X105</f>
        <v>9.9885643877724528E-2</v>
      </c>
    </row>
    <row r="109" spans="1:24" ht="19" x14ac:dyDescent="0.25">
      <c r="Q109" s="65" t="s">
        <v>149</v>
      </c>
      <c r="R109" s="66"/>
    </row>
    <row r="110" spans="1:24" ht="20" x14ac:dyDescent="0.25">
      <c r="Q110" s="48" t="s">
        <v>150</v>
      </c>
      <c r="R110" s="37">
        <f>NPV(X108,Q108,R108,S108,T108,U108)</f>
        <v>19013785920.801041</v>
      </c>
    </row>
    <row r="111" spans="1:24" ht="20" x14ac:dyDescent="0.25">
      <c r="Q111" s="48" t="s">
        <v>151</v>
      </c>
      <c r="R111" s="37">
        <f>P40</f>
        <v>1612843000</v>
      </c>
    </row>
    <row r="112" spans="1:24" ht="20" x14ac:dyDescent="0.25">
      <c r="Q112" s="48" t="s">
        <v>139</v>
      </c>
      <c r="R112" s="37">
        <f>X99</f>
        <v>1290357000</v>
      </c>
    </row>
    <row r="113" spans="17:18" ht="20" x14ac:dyDescent="0.25">
      <c r="Q113" s="48" t="s">
        <v>152</v>
      </c>
      <c r="R113" s="37">
        <f>R110+R111-R112</f>
        <v>19336271920.801041</v>
      </c>
    </row>
    <row r="114" spans="17:18" ht="20" x14ac:dyDescent="0.25">
      <c r="Q114" s="48" t="s">
        <v>164</v>
      </c>
      <c r="R114" s="49">
        <f>P34*(1+(V16*5))</f>
        <v>236125671.38866943</v>
      </c>
    </row>
    <row r="115" spans="17:18" ht="20" x14ac:dyDescent="0.25">
      <c r="Q115" s="50" t="s">
        <v>153</v>
      </c>
      <c r="R115" s="51">
        <f>R113/R114</f>
        <v>81.889748823511013</v>
      </c>
    </row>
    <row r="116" spans="17:18" ht="20" x14ac:dyDescent="0.25">
      <c r="Q116" s="48" t="s">
        <v>154</v>
      </c>
      <c r="R116" s="52" cm="1">
        <f t="array" ref="R116">_FV(A1,"Price")</f>
        <v>159.21</v>
      </c>
    </row>
    <row r="117" spans="17:18" ht="20" x14ac:dyDescent="0.25">
      <c r="Q117" s="53" t="s">
        <v>155</v>
      </c>
      <c r="R117" s="54">
        <f>R115/R116-1</f>
        <v>-0.48564946408196086</v>
      </c>
    </row>
    <row r="118" spans="17:18" ht="20" x14ac:dyDescent="0.25">
      <c r="Q118" s="53" t="s">
        <v>156</v>
      </c>
      <c r="R118" s="55" t="str">
        <f>IF(R115&gt;R116,"BUY","SELL")</f>
        <v>SELL</v>
      </c>
    </row>
  </sheetData>
  <mergeCells count="6">
    <mergeCell ref="Q109:R109"/>
    <mergeCell ref="W83:X83"/>
    <mergeCell ref="W84:X84"/>
    <mergeCell ref="W93:X93"/>
    <mergeCell ref="W98:X98"/>
    <mergeCell ref="W104:X104"/>
  </mergeCells>
  <hyperlinks>
    <hyperlink ref="A1" r:id="rId1" tooltip="https://roic.ai/company/ENPH" display="ROIC.AI | ENPH"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463101/000144530513000492/0001445305-13-000492-index.htm" xr:uid="{00000000-0004-0000-0000-00000D000000}"/>
    <hyperlink ref="F74" r:id="rId11" tooltip="https://www.sec.gov/Archives/edgar/data/1463101/000144530513000492/0001445305-13-000492-index.htm" xr:uid="{00000000-0004-0000-0000-00000E000000}"/>
    <hyperlink ref="G36" r:id="rId12" tooltip="https://www.sec.gov/Archives/edgar/data/1463101/000146310114000007/0001463101-14-000007-index.htm" xr:uid="{00000000-0004-0000-0000-000010000000}"/>
    <hyperlink ref="G74" r:id="rId13" tooltip="https://www.sec.gov/Archives/edgar/data/1463101/000146310114000007/0001463101-14-000007-index.htm" xr:uid="{00000000-0004-0000-0000-000011000000}"/>
    <hyperlink ref="H36" r:id="rId14" tooltip="https://www.sec.gov/Archives/edgar/data/1463101/000146310115000017/0001463101-15-000017-index.htm" xr:uid="{00000000-0004-0000-0000-000013000000}"/>
    <hyperlink ref="H74" r:id="rId15" tooltip="https://www.sec.gov/Archives/edgar/data/1463101/000146310115000017/0001463101-15-000017-index.htm" xr:uid="{00000000-0004-0000-0000-000014000000}"/>
    <hyperlink ref="I36" r:id="rId16" tooltip="https://www.sec.gov/Archives/edgar/data/1463101/000146310116000040/0001463101-16-000040-index.htm" xr:uid="{00000000-0004-0000-0000-000016000000}"/>
    <hyperlink ref="I74" r:id="rId17" tooltip="https://www.sec.gov/Archives/edgar/data/1463101/000146310116000040/0001463101-16-000040-index.htm" xr:uid="{00000000-0004-0000-0000-000017000000}"/>
    <hyperlink ref="J36" r:id="rId18" tooltip="https://www.sec.gov/Archives/edgar/data/1463101/000146310117000024/0001463101-17-000024-index.htm" xr:uid="{00000000-0004-0000-0000-000019000000}"/>
    <hyperlink ref="J74" r:id="rId19" tooltip="https://www.sec.gov/Archives/edgar/data/1463101/000146310117000024/0001463101-17-000024-index.htm" xr:uid="{00000000-0004-0000-0000-00001A000000}"/>
    <hyperlink ref="K36" r:id="rId20" tooltip="https://www.sec.gov/Archives/edgar/data/1463101/000146310118000030/0001463101-18-000030-index.htm" xr:uid="{00000000-0004-0000-0000-00001C000000}"/>
    <hyperlink ref="K74" r:id="rId21" tooltip="https://www.sec.gov/Archives/edgar/data/1463101/000146310118000030/0001463101-18-000030-index.htm" xr:uid="{00000000-0004-0000-0000-00001D000000}"/>
    <hyperlink ref="L36" r:id="rId22" tooltip="https://www.sec.gov/Archives/edgar/data/1463101/000146310119000033/0001463101-19-000033-index.htm" xr:uid="{00000000-0004-0000-0000-00001F000000}"/>
    <hyperlink ref="L74" r:id="rId23" tooltip="https://www.sec.gov/Archives/edgar/data/1463101/000146310119000033/0001463101-19-000033-index.htm" xr:uid="{00000000-0004-0000-0000-000020000000}"/>
    <hyperlink ref="M36" r:id="rId24" tooltip="https://www.sec.gov/Archives/edgar/data/1463101/000146310120000021/0001463101-20-000021-index.htm" xr:uid="{00000000-0004-0000-0000-000022000000}"/>
    <hyperlink ref="M74" r:id="rId25" tooltip="https://www.sec.gov/Archives/edgar/data/1463101/000146310120000021/0001463101-20-000021-index.htm" xr:uid="{00000000-0004-0000-0000-000023000000}"/>
    <hyperlink ref="N36" r:id="rId26" tooltip="https://www.sec.gov/Archives/edgar/data/1463101/000146310121000016/0001463101-21-000016-index.htm" xr:uid="{00000000-0004-0000-0000-000025000000}"/>
    <hyperlink ref="N74" r:id="rId27" tooltip="https://www.sec.gov/Archives/edgar/data/1463101/000146310121000016/0001463101-21-000016-index.htm" xr:uid="{00000000-0004-0000-0000-000026000000}"/>
    <hyperlink ref="O36" r:id="rId28" tooltip="https://www.sec.gov/Archives/edgar/data/1463101/000146310122000016/0001463101-22-000016-index.htm" xr:uid="{00000000-0004-0000-0000-000028000000}"/>
    <hyperlink ref="O74" r:id="rId29" tooltip="https://www.sec.gov/Archives/edgar/data/1463101/000146310122000016/0001463101-22-000016-index.htm" xr:uid="{00000000-0004-0000-0000-000029000000}"/>
    <hyperlink ref="P36" r:id="rId30" tooltip="https://www.sec.gov/Archives/edgar/data/1463101/000146310123000025/0001463101-23-000025-index.htm" xr:uid="{00000000-0004-0000-0000-00002B000000}"/>
    <hyperlink ref="P74" r:id="rId31" tooltip="https://www.sec.gov/Archives/edgar/data/1463101/000146310123000025/0001463101-23-000025-index.htm" xr:uid="{00000000-0004-0000-0000-00002C000000}"/>
    <hyperlink ref="Q1" r:id="rId32" display="https://finbox.com/NASDAQGM:ENPH/explorer/revenue_proj" xr:uid="{09C2F2A3-824C-C541-991C-2D2A0E41195C}"/>
    <hyperlink ref="V106" r:id="rId33" xr:uid="{1423C5B2-891B-3A44-BC24-B57A048557DB}"/>
  </hyperlinks>
  <pageMargins left="0.7" right="0.7" top="0.75" bottom="0.75" header="0.3" footer="0.3"/>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2023-03-14T06:00:00Z</dcterms:created>
  <dcterms:modified xsi:type="dcterms:W3CDTF">2023-06-26T22:31:44Z</dcterms:modified>
</cp:coreProperties>
</file>