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F3304CE-DCC6-3941-8407-170DE0A7B20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4" i="1" l="1"/>
  <c r="Z24" i="1"/>
  <c r="S116" i="1" l="1"/>
  <c r="R110" i="1"/>
  <c r="S110" i="1"/>
  <c r="T110" i="1"/>
  <c r="U110" i="1"/>
  <c r="S107" i="1"/>
  <c r="T107" i="1"/>
  <c r="U107" i="1"/>
  <c r="V107" i="1" s="1"/>
  <c r="R107" i="1"/>
  <c r="B107" i="1"/>
  <c r="C107" i="1"/>
  <c r="D107" i="1"/>
  <c r="E107" i="1"/>
  <c r="F107" i="1"/>
  <c r="G107" i="1"/>
  <c r="H107" i="1"/>
  <c r="I107" i="1"/>
  <c r="J107" i="1"/>
  <c r="K107" i="1"/>
  <c r="L107" i="1"/>
  <c r="M107" i="1"/>
  <c r="N107" i="1"/>
  <c r="O107" i="1"/>
  <c r="P107" i="1"/>
  <c r="Q107" i="1"/>
  <c r="Y95" i="1"/>
  <c r="S32" i="1"/>
  <c r="T32" i="1"/>
  <c r="U32" i="1"/>
  <c r="V32" i="1"/>
  <c r="R32" i="1"/>
  <c r="R31" i="1"/>
  <c r="S31" i="1"/>
  <c r="T31" i="1"/>
  <c r="U31" i="1"/>
  <c r="V31" i="1"/>
  <c r="S23" i="1"/>
  <c r="T23" i="1"/>
  <c r="U23" i="1"/>
  <c r="V23" i="1"/>
  <c r="R23" i="1"/>
  <c r="R22" i="1"/>
  <c r="S22" i="1"/>
  <c r="T22" i="1"/>
  <c r="U22" i="1"/>
  <c r="V22" i="1"/>
  <c r="R4" i="1"/>
  <c r="Q4" i="1"/>
  <c r="P4" i="1"/>
  <c r="O4" i="1"/>
  <c r="N4" i="1"/>
  <c r="M4" i="1"/>
  <c r="L4" i="1"/>
  <c r="K4" i="1"/>
  <c r="J4" i="1"/>
  <c r="I4" i="1"/>
  <c r="H4" i="1"/>
  <c r="G4" i="1"/>
  <c r="F4" i="1"/>
  <c r="E4" i="1"/>
  <c r="D4" i="1"/>
  <c r="C4" i="1"/>
  <c r="R3" i="1"/>
  <c r="S118" i="1" a="1"/>
  <c r="S118" i="1" s="1"/>
  <c r="Y102" i="1" a="1"/>
  <c r="Y102" i="1" s="1"/>
  <c r="X21" i="1" s="1"/>
  <c r="Y96" i="1" a="1"/>
  <c r="Y96" i="1" s="1"/>
  <c r="Y86" i="1"/>
  <c r="Y89" i="1" s="1"/>
  <c r="Y93" i="1" s="1"/>
  <c r="Y87" i="1"/>
  <c r="Y88" i="1"/>
  <c r="Y100" i="1" s="1"/>
  <c r="Y90" i="1"/>
  <c r="Y91" i="1"/>
  <c r="Y92" i="1"/>
  <c r="W21" i="1"/>
  <c r="Z15" i="1"/>
  <c r="Y15" i="1"/>
  <c r="X15" i="1"/>
  <c r="W15" i="1"/>
  <c r="Z9" i="1"/>
  <c r="Y9" i="1"/>
  <c r="X9" i="1"/>
  <c r="W9" i="1"/>
  <c r="S113" i="1"/>
  <c r="Y98" i="1" l="1"/>
  <c r="Z21" i="1"/>
  <c r="Y21" i="1"/>
  <c r="Z18" i="1"/>
  <c r="Y18" i="1"/>
  <c r="X18" i="1"/>
  <c r="Y104" i="1"/>
  <c r="Y103"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S114" i="1" l="1"/>
  <c r="Y106" i="1" l="1"/>
  <c r="Y110" i="1" s="1"/>
  <c r="V109" i="1" s="1"/>
  <c r="V110" i="1" s="1"/>
  <c r="S112" i="1" l="1"/>
  <c r="S115" i="1" s="1"/>
  <c r="S117" i="1" s="1"/>
  <c r="S119" i="1" s="1"/>
  <c r="S12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<sst xmlns="http://schemas.openxmlformats.org/spreadsheetml/2006/main" count="506" uniqueCount="169">
  <si>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</si>
  <si>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</si>
  <si>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</si>
  <si>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</si>
  <si>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</si>
  <si>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</si>
  <si>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</si>
  <si>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</si>
  <si>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</si>
  <si>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</si>
  <si>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</si>
  <si>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</si>
  <si>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</si>
  <si>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</si>
  <si>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</si>
  <si>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</si>
  <si>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</si>
  <si>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</si>
  <si>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</si>
  <si>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</si>
  <si>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</si>
  <si>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</si>
  <si>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</si>
  <si>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</si>
  <si>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</si>
  <si>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</si>
  <si>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</si>
  <si>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</si>
  <si>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</si>
  <si>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</si>
  <si>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</si>
  <si>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</si>
  <si>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</si>
  <si>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</si>
  <si>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</si>
  <si>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</si>
  <si>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</si>
  <si>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</si>
  <si>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</si>
  <si>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</si>
  <si>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</si>
  <si>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</si>
  <si>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</si>
  <si>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</si>
  <si>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</si>
  <si>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</si>
  <si>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</si>
  <si>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</si>
  <si>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</si>
  <si>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</si>
  <si>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</si>
  <si>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</si>
  <si>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</si>
  <si>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</si>
  <si>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</si>
  <si>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</si>
  <si>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</si>
  <si>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</si>
  <si>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</si>
  <si>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</si>
  <si>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</si>
  <si>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</si>
  <si>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</si>
  <si>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</si>
  <si>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</si>
  <si>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</si>
  <si>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</si>
  <si>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</si>
  <si>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</si>
  <si>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</si>
  <si>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</si>
  <si>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</si>
  <si>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</si>
  <si>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</si>
  <si>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</si>
  <si>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</si>
  <si>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</si>
  <si>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</si>
  <si>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</si>
  <si>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</si>
  <si>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</si>
  <si>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</si>
  <si>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</si>
  <si>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</si>
  <si>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</si>
  <si>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</si>
  <si>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</si>
  <si>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</si>
  <si>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</si>
  <si>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</si>
  <si>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</si>
  <si>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</si>
  <si>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</si>
  <si>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</si>
  <si>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</si>
  <si>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</si>
  <si>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</si>
  <si>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</si>
  <si>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</si>
  <si>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</si>
  <si>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</si>
  <si>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</si>
  <si>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</si>
  <si>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</si>
  <si>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</si>
  <si>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</si>
  <si>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</si>
  <si>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</si>
  <si>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</si>
  <si>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</si>
  <si>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</si>
  <si>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</si>
  <si>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</si>
  <si>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</si>
  <si>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</si>
  <si>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</si>
  <si>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</si>
  <si>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</si>
  <si>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</si>
  <si>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</si>
  <si>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</si>
  <si>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</si>
  <si>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</si>
  <si>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</si>
  <si>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</si>
  <si>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</si>
  <si>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</si>
  <si>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</si>
  <si>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</si>
  <si>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</si>
  <si>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</si>
  <si>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</si>
  <si>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</si>
  <si>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</si>
  <si>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</si>
  <si>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</si>
  <si>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</si>
  <si>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</si>
  <si>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</si>
  <si>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</si>
  <si>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</si>
  <si>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</si>
  <si>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</si>
  <si>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</si>
  <si>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</si>
  <si>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</si>
  <si>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</si>
  <si>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</si>
  <si>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</si>
  <si>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</si>
  <si>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</si>
  <si>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</si>
  <si>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</si>
  <si>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</si>
  <si>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</si>
  <si>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</si>
  <si>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</si>
  <si>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</si>
  <si>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</si>
  <si>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</si>
  <si>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</si>
  <si>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</si>
  <si>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Proj</t>
  </si>
  <si>
    <t>Unlevered FCF Forecast</t>
  </si>
  <si>
    <t>Shares</t>
  </si>
  <si>
    <t>Unlevered FCF</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</si>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</sst>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10" fontId="8" fillId="3" borderId="9" xfId="0" applyNumberFormat="1" applyFont="1" applyFill="1" applyBorder="1"/>
    <xf numFmtId="0" fontId="8" fillId="3" borderId="6" xfId="0" applyFont="1" applyFill="1" applyBorder="1" applyAlignment="1">
      <alignment horizontal="left" vertical="center" wrapText="1"/>
    </xf>
    <xf numFmtId="9" fontId="14" fillId="0" borderId="6"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9" fontId="16" fillId="5" borderId="5" xfId="0" applyNumberFormat="1" applyFont="1" applyFill="1" applyBorder="1" applyAlignment="1">
      <alignment wrapText="1"/>
    </xf>
    <xf numFmtId="10" fontId="1" fillId="5" borderId="8" xfId="0" applyNumberFormat="1" applyFont="1" applyFill="1" applyBorder="1" applyAlignment="1">
      <alignment horizontal="right" vertical="center"/>
    </xf>
    <xf numFmtId="0" fontId="0" fillId="5" borderId="0" xfId="0" applyFill="1" applyAlignment="1">
      <alignment horizontal="left"/>
    </xf>
    <xf numFmtId="0" fontId="16" fillId="6" borderId="5" xfId="0" applyFont="1" applyFill="1" applyBorder="1" applyAlignment="1">
      <alignment wrapText="1"/>
    </xf>
    <xf numFmtId="10" fontId="1" fillId="6" borderId="8" xfId="0" applyNumberFormat="1" applyFont="1" applyFill="1" applyBorder="1" applyAlignment="1">
      <alignment horizontal="right" vertical="center"/>
    </xf>
    <xf numFmtId="0" fontId="16" fillId="5" borderId="6" xfId="0" applyFont="1" applyFill="1" applyBorder="1"/>
    <xf numFmtId="10" fontId="1" fillId="5" borderId="9" xfId="0" applyNumberFormat="1" applyFont="1" applyFill="1" applyBorder="1" applyAlignment="1">
      <alignment horizontal="right" vertical="center"/>
    </xf>
    <xf numFmtId="164" fontId="1" fillId="5" borderId="5" xfId="0" applyNumberFormat="1" applyFont="1" applyFill="1" applyBorder="1" applyAlignment="1">
      <alignment wrapText="1"/>
    </xf>
    <xf numFmtId="164" fontId="1" fillId="5" borderId="8" xfId="0" applyNumberFormat="1" applyFont="1" applyFill="1" applyBorder="1"/>
    <xf numFmtId="164" fontId="1" fillId="3" borderId="5" xfId="0" applyNumberFormat="1" applyFont="1" applyFill="1" applyBorder="1" applyAlignment="1">
      <alignment wrapText="1"/>
    </xf>
    <xf numFmtId="164" fontId="1" fillId="3" borderId="6" xfId="0" applyNumberFormat="1" applyFont="1" applyFill="1" applyBorder="1" applyAlignment="1">
      <alignment wrapText="1"/>
    </xf>
    <xf numFmtId="9" fontId="8" fillId="3" borderId="9" xfId="1" applyFont="1" applyFill="1" applyBorder="1"/>
    <xf numFmtId="0" fontId="8" fillId="3" borderId="9" xfId="0" applyFont="1" applyFill="1" applyBorder="1" applyAlignment="1">
      <alignment horizontal="right"/>
    </xf>
    <xf numFmtId="0" fontId="8" fillId="7" borderId="13"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4" xfId="0" applyNumberFormat="1" applyFont="1" applyBorder="1" applyAlignment="1">
      <alignment horizontal="center"/>
    </xf>
    <xf numFmtId="9" fontId="14" fillId="0" borderId="9" xfId="0" applyNumberFormat="1" applyFont="1" applyBorder="1" applyAlignment="1">
      <alignment horizontal="center"/>
    </xf>
    <xf numFmtId="164" fontId="1" fillId="0" borderId="13" xfId="0" applyNumberFormat="1" applyFont="1" applyBorder="1" applyAlignment="1">
      <alignment horizontal="center"/>
    </xf>
    <xf numFmtId="164" fontId="1" fillId="5" borderId="8" xfId="0" applyNumberFormat="1" applyFont="1" applyFill="1" applyBorder="1" applyAlignment="1">
      <alignment wrapText="1"/>
    </xf>
    <xf numFmtId="0" fontId="14" fillId="5" borderId="5" xfId="0" applyFont="1" applyFill="1" applyBorder="1" applyAlignment="1">
      <alignment horizontal="left" vertical="center" wrapText="1"/>
    </xf>
    <xf numFmtId="164" fontId="14" fillId="5" borderId="8" xfId="0" applyNumberFormat="1" applyFont="1" applyFill="1" applyBorder="1"/>
    <xf numFmtId="0" fontId="8" fillId="5" borderId="5" xfId="0" applyFont="1" applyFill="1" applyBorder="1" applyAlignment="1">
      <alignment horizontal="left" vertical="center" wrapText="1"/>
    </xf>
    <xf numFmtId="10" fontId="8" fillId="5" borderId="8" xfId="0" applyNumberFormat="1" applyFont="1" applyFill="1" applyBorder="1"/>
    <xf numFmtId="0" fontId="8" fillId="5" borderId="6" xfId="0" applyFont="1" applyFill="1" applyBorder="1" applyAlignment="1">
      <alignment horizontal="left" vertical="center" wrapText="1"/>
    </xf>
    <xf numFmtId="10" fontId="8" fillId="5" borderId="9" xfId="0" applyNumberFormat="1" applyFont="1" applyFill="1" applyBorder="1"/>
    <xf numFmtId="10" fontId="14" fillId="5" borderId="8" xfId="0" applyNumberFormat="1" applyFont="1" applyFill="1" applyBorder="1"/>
    <xf numFmtId="39" fontId="14" fillId="5" borderId="8" xfId="0" applyNumberFormat="1" applyFont="1" applyFill="1" applyBorder="1"/>
    <xf numFmtId="164" fontId="8" fillId="5" borderId="9" xfId="0" applyNumberFormat="1" applyFont="1" applyFill="1" applyBorder="1"/>
    <xf numFmtId="167" fontId="1" fillId="5" borderId="8" xfId="0" applyNumberFormat="1" applyFont="1" applyFill="1" applyBorder="1"/>
    <xf numFmtId="168" fontId="8" fillId="3" borderId="8" xfId="0" applyNumberFormat="1" applyFont="1" applyFill="1" applyBorder="1"/>
    <xf numFmtId="37" fontId="10" fillId="0" borderId="0" xfId="0" applyNumberFormat="1" applyFont="1"/>
    <xf numFmtId="0" fontId="8" fillId="7" borderId="14" xfId="0" applyFont="1" applyFill="1" applyBorder="1" applyAlignment="1">
      <alignment horizontal="center" vertical="center" wrapText="1"/>
    </xf>
    <xf numFmtId="0" fontId="8" fillId="7" borderId="9" xfId="0" applyFont="1" applyFill="1" applyBorder="1" applyAlignment="1">
      <alignment horizontal="center" vertical="center" wrapText="1"/>
    </xf>
    <xf numFmtId="9" fontId="14" fillId="0" borderId="15" xfId="0" applyNumberFormat="1" applyFont="1" applyBorder="1" applyAlignment="1">
      <alignment horizontal="center"/>
    </xf>
    <xf numFmtId="164" fontId="9" fillId="0" borderId="2" xfId="0" applyNumberFormat="1" applyFont="1" applyBorder="1"/>
    <xf numFmtId="165" fontId="10" fillId="0" borderId="0" xfId="0" applyNumberFormat="1" applyFont="1"/>
    <xf numFmtId="164" fontId="9" fillId="0" borderId="3" xfId="0" applyNumberFormat="1" applyFont="1" applyBorder="1"/>
    <xf numFmtId="166" fontId="10" fillId="0" borderId="0" xfId="0" applyNumberFormat="1" applyFont="1"/>
    <xf numFmtId="169" fontId="14" fillId="0" borderId="6" xfId="0" applyNumberFormat="1" applyFont="1" applyBorder="1" applyAlignment="1">
      <alignment horizontal="center"/>
    </xf>
    <xf numFmtId="169" fontId="14" fillId="0" borderId="14" xfId="0" applyNumberFormat="1" applyFont="1" applyBorder="1" applyAlignment="1">
      <alignment horizontal="center"/>
    </xf>
    <xf numFmtId="169" fontId="14" fillId="0" borderId="9" xfId="0" applyNumberFormat="1" applyFont="1" applyBorder="1" applyAlignment="1">
      <alignment horizontal="center"/>
    </xf>
    <xf numFmtId="169" fontId="14" fillId="0" borderId="13"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9" fontId="0" fillId="0" borderId="0" xfId="1" applyFont="1"/>
    <xf numFmtId="0" fontId="14" fillId="0" borderId="0" xfId="0" applyFont="1" applyAlignment="1">
      <alignment inden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8" fillId="4" borderId="10"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3" fillId="3" borderId="10" xfId="0" applyFont="1" applyFill="1" applyBorder="1" applyAlignment="1">
      <alignment horizontal="center"/>
    </xf>
    <xf numFmtId="0" fontId="12" fillId="3" borderId="7" xfId="0" applyFont="1" applyFill="1" applyBorder="1" applyAlignment="1">
      <alignment horizontal="center"/>
    </xf>
    <xf numFmtId="172" fontId="14" fillId="0" borderId="14" xfId="0" applyNumberFormat="1" applyFont="1" applyBorder="1" applyAlignment="1">
      <alignment horizontal="center"/>
    </xf>
    <xf numFmtId="172" fontId="14" fillId="0" borderId="9"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400"/>
              <a:t>Tesla</a:t>
            </a:r>
            <a:endParaRPr lang="en-US" sz="2800"/>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68477096322222486"/>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1'!$A$21</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1'!$B$21:$Q$21</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1'!$B$109:$Q$109</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layout>
        <c:manualLayout>
          <c:xMode val="edge"/>
          <c:yMode val="edge"/>
          <c:x val="0.34732358851313938"/>
          <c:y val="0.90066525337810055"/>
          <c:w val="0.32648180449876912"/>
          <c:h val="5.796158024864430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Yearly</a:t>
            </a:r>
            <a:r>
              <a:rPr lang="en-US" baseline="0"/>
              <a:t> </a:t>
            </a:r>
            <a:r>
              <a:rPr lang="en-US"/>
              <a:t>Vehicle Deliveries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61540140798746"/>
          <c:y val="0.13237339543424362"/>
          <c:w val="0.84223706289019606"/>
          <c:h val="0.74600411512260612"/>
        </c:manualLayout>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1'!$G$1:$R$1</c:f>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f>'Sheet 1'!$G$3:$R$3</c:f>
              <c:numCache>
                <c:formatCode>#,##0_);\(#,##0\)</c:formatCode>
                <c:ptCount val="12"/>
                <c:pt idx="0">
                  <c:v>2600</c:v>
                </c:pt>
                <c:pt idx="1">
                  <c:v>22400</c:v>
                </c:pt>
                <c:pt idx="2">
                  <c:v>32000</c:v>
                </c:pt>
                <c:pt idx="3">
                  <c:v>50000</c:v>
                </c:pt>
                <c:pt idx="4">
                  <c:v>76200</c:v>
                </c:pt>
                <c:pt idx="5">
                  <c:v>103100</c:v>
                </c:pt>
                <c:pt idx="6">
                  <c:v>245200</c:v>
                </c:pt>
                <c:pt idx="7">
                  <c:v>367500</c:v>
                </c:pt>
                <c:pt idx="8">
                  <c:v>499550</c:v>
                </c:pt>
                <c:pt idx="9">
                  <c:v>936172</c:v>
                </c:pt>
                <c:pt idx="10">
                  <c:v>1313851</c:v>
                </c:pt>
                <c:pt idx="11">
                  <c:v>1691500</c:v>
                </c:pt>
              </c:numCache>
            </c:numRef>
          </c:val>
          <c:extLst>
            <c:ext xmlns:c16="http://schemas.microsoft.com/office/drawing/2014/chart" uri="{C3380CC4-5D6E-409C-BE32-E72D297353CC}">
              <c16:uniqueId val="{00000001-9C6B-CF4B-9857-3E6CEC2C30BB}"/>
            </c:ext>
          </c:extLst>
        </c:ser>
        <c:dLbls>
          <c:showLegendKey val="0"/>
          <c:showVal val="0"/>
          <c:showCatName val="0"/>
          <c:showSerName val="0"/>
          <c:showPercent val="0"/>
          <c:showBubbleSize val="0"/>
        </c:dLbls>
        <c:gapWidth val="100"/>
        <c:overlap val="-24"/>
        <c:axId val="1669591360"/>
        <c:axId val="1669610000"/>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'Sheet 1'!$G$1:$R$1</c15:sqref>
                        </c15:formulaRef>
                      </c:ext>
                    </c:extLst>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extLst>
                      <c:ext uri="{02D57815-91ED-43cb-92C2-25804820EDAC}">
                        <c15:formulaRef>
                          <c15:sqref>'Sheet 1'!$G$2:$R$2</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9C6B-CF4B-9857-3E6CEC2C30BB}"/>
                  </c:ext>
                </c:extLst>
              </c15:ser>
            </c15:filteredBarSeries>
          </c:ext>
        </c:extLst>
      </c:barChart>
      <c:catAx>
        <c:axId val="166959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610000"/>
        <c:crosses val="autoZero"/>
        <c:auto val="1"/>
        <c:lblAlgn val="ctr"/>
        <c:lblOffset val="100"/>
        <c:noMultiLvlLbl val="0"/>
      </c:catAx>
      <c:valAx>
        <c:axId val="1669610000"/>
        <c:scaling>
          <c:orientation val="minMax"/>
        </c:scaling>
        <c:delete val="0"/>
        <c:axPos val="l"/>
        <c:majorGridlines>
          <c:spPr>
            <a:ln w="9525" cap="flat" cmpd="sng" algn="ctr">
              <a:solidFill>
                <a:schemeClr val="tx2">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59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110</xdr:row>
      <xdr:rowOff>33867</xdr:rowOff>
    </xdr:from>
    <xdr:to>
      <xdr:col>25</xdr:col>
      <xdr:colOff>0</xdr:colOff>
      <xdr:row>129</xdr:row>
      <xdr:rowOff>31751</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1603374</xdr:colOff>
      <xdr:row>129</xdr:row>
      <xdr:rowOff>49212</xdr:rowOff>
    </xdr:from>
    <xdr:to>
      <xdr:col>25</xdr:col>
      <xdr:colOff>31750</xdr:colOff>
      <xdr:row>148</xdr:row>
      <xdr:rowOff>174625</xdr:rowOff>
    </xdr:to>
    <xdr:graphicFrame macro="">
      <xdr:nvGraphicFramePr>
        <xdr:cNvPr id="3" name="Chart 2">
          <a:extLst>
            <a:ext uri="{FF2B5EF4-FFF2-40B4-BE49-F238E27FC236}">
              <a16:creationId xmlns:a16="http://schemas.microsoft.com/office/drawing/2014/main" id="{912910ED-C7C6-09CA-D57D-FC2AF7203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314.66640000000001</v>
    <v>101.81</v>
    <v>2.032</v>
    <v>-8.01</v>
    <v>-3.0270999999999999E-2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262.45</v>
    <v>Automobiles &amp; Auto Parts</v>
    <v>Stock</v>
    <v>45100.999999455467</v>
    <v>0</v>
    <v>252.8</v>
    <v>813294800000</v>
    <v>TESLA, INC.</v>
    <v>TESLA, INC.</v>
    <v>259.29000000000002</v>
    <v>75.546999999999997</v>
    <v>264.61</v>
    <v>256.60000000000002</v>
    <v>3169504000</v>
    <v>TSLA</v>
    <v>TESLA, INC. (XNAS:TSLA)</v>
    <v>1564597</v>
    <v>156207860</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O2" activePane="bottomRight" state="frozen"/>
      <selection pane="topRight"/>
      <selection pane="bottomLeft"/>
      <selection pane="bottomRight" activeCell="W36" sqref="W36"/>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4"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57">
        <f>422875*4</f>
        <v>1691500</v>
      </c>
      <c r="S3" s="20"/>
      <c r="T3" s="1"/>
      <c r="U3" s="1"/>
      <c r="V3" s="1"/>
      <c r="W3" s="1"/>
      <c r="X3" s="1"/>
      <c r="Y3" s="1"/>
      <c r="Z3" s="1"/>
    </row>
    <row r="4" spans="1:26" ht="19" x14ac:dyDescent="0.25">
      <c r="A4" s="14"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0.28743670324869419</v>
      </c>
      <c r="S4" s="18"/>
      <c r="T4" s="18"/>
      <c r="U4" s="18"/>
      <c r="V4" s="18"/>
      <c r="W4" s="60"/>
      <c r="X4" s="60"/>
      <c r="Y4" s="60"/>
      <c r="Z4" s="60"/>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99748000000</v>
      </c>
      <c r="S5" s="17">
        <v>128400000000</v>
      </c>
      <c r="T5" s="17">
        <v>156700000000</v>
      </c>
      <c r="U5" s="17">
        <v>163400000000</v>
      </c>
      <c r="V5" s="17">
        <v>197900000000</v>
      </c>
      <c r="W5" s="58" t="s">
        <v>99</v>
      </c>
      <c r="X5" s="59" t="s">
        <v>97</v>
      </c>
      <c r="Y5" s="59" t="s">
        <v>98</v>
      </c>
      <c r="Z5" s="59"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0.22447276030541841</v>
      </c>
      <c r="S6" s="18">
        <f t="shared" ref="S6" si="15">(S5/R5)-1</f>
        <v>0.28724385451337375</v>
      </c>
      <c r="T6" s="18">
        <f t="shared" ref="T6" si="16">(T5/S5)-1</f>
        <v>0.22040498442367595</v>
      </c>
      <c r="U6" s="18">
        <f>(U5/T5)-1</f>
        <v>4.2756860242501693E-2</v>
      </c>
      <c r="V6" s="18">
        <f t="shared" ref="V6" si="17">(V5/U5)-1</f>
        <v>0.21113831089351276</v>
      </c>
      <c r="W6" s="42">
        <f>(Q6+P6+O6)/3</f>
        <v>0.50111045549806821</v>
      </c>
      <c r="X6" s="42">
        <f>(Q22+P22+O22)/3</f>
        <v>1.0471441765542473</v>
      </c>
      <c r="Y6" s="42">
        <f>(Q31+P31+O31)/3</f>
        <v>2.1577121717940262</v>
      </c>
      <c r="Z6" s="42">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40" t="s">
        <v>101</v>
      </c>
      <c r="X8" s="41" t="s">
        <v>102</v>
      </c>
      <c r="Y8" s="41" t="s">
        <v>103</v>
      </c>
      <c r="Z8" s="41"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42">
        <f>Q9</f>
        <v>0.25600000000000001</v>
      </c>
      <c r="X9" s="43">
        <f>Q23</f>
        <v>0.21640000000000001</v>
      </c>
      <c r="Y9" s="43">
        <f>Q32</f>
        <v>0.15409999999999999</v>
      </c>
      <c r="Z9" s="43">
        <f>Q109/Q5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40" t="s">
        <v>112</v>
      </c>
      <c r="X11" s="41" t="s">
        <v>111</v>
      </c>
      <c r="Y11" s="41" t="s">
        <v>109</v>
      </c>
      <c r="Z11" s="41"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42">
        <f>Q11</f>
        <v>3.7747661486337188E-2</v>
      </c>
      <c r="X12" s="43">
        <f>Q15</f>
        <v>4.8439763325231394E-2</v>
      </c>
      <c r="Y12" s="43">
        <f>Q82</f>
        <v>1.9150033144288134E-2</v>
      </c>
      <c r="Z12" s="43">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40" t="s">
        <v>116</v>
      </c>
      <c r="X14" s="41" t="s">
        <v>115</v>
      </c>
      <c r="Y14" s="41" t="s">
        <v>114</v>
      </c>
      <c r="Z14" s="41"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42">
        <f>Q30/Q74</f>
        <v>0.28086972083035078</v>
      </c>
      <c r="X15" s="43">
        <f>Q30/Q56</f>
        <v>0.1524933809419709</v>
      </c>
      <c r="Y15" s="43">
        <f>Q24/(Q74+Q58+Q63)</f>
        <v>0.28567244733594127</v>
      </c>
      <c r="Z15" s="67">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40" t="s">
        <v>139</v>
      </c>
      <c r="X17" s="41" t="s">
        <v>154</v>
      </c>
      <c r="Y17" s="41" t="s">
        <v>155</v>
      </c>
      <c r="Z17" s="41"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3">
        <f>(Q37+P37+O37+N37+M37)/5</f>
        <v>6.5503438863175154E-2</v>
      </c>
      <c r="X18" s="65">
        <f>Y102/Q5</f>
        <v>9.983732292357173</v>
      </c>
      <c r="Y18" s="65">
        <f>Y102/Q30</f>
        <v>64.773399171710736</v>
      </c>
      <c r="Z18" s="66">
        <f>Y102/Q109</f>
        <v>107.56444914693823</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40" t="s">
        <v>157</v>
      </c>
      <c r="X20" s="41" t="s">
        <v>159</v>
      </c>
      <c r="Y20" s="41" t="s">
        <v>160</v>
      </c>
      <c r="Z20" s="41"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61">
        <v>18236000000</v>
      </c>
      <c r="S21" s="61">
        <v>25803000000</v>
      </c>
      <c r="T21" s="61">
        <v>32948000000</v>
      </c>
      <c r="U21" s="61">
        <v>37600000000</v>
      </c>
      <c r="V21" s="61">
        <v>40390000000</v>
      </c>
      <c r="W21" s="44">
        <f>Q42-Q58-Q63</f>
        <v>19086000000</v>
      </c>
      <c r="X21" s="65">
        <f>Y102/R5</f>
        <v>8.1534948069134217</v>
      </c>
      <c r="Y21" s="68">
        <f>Y102/R30</f>
        <v>67.978502173186229</v>
      </c>
      <c r="Z21" s="66">
        <f>Y102/R107</f>
        <v>114.30358368512212</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18">
        <f t="shared" ref="R22" si="45">(R21/Q21)-1</f>
        <v>3.4607965505503158E-2</v>
      </c>
      <c r="S22" s="18">
        <f t="shared" ref="S22" si="46">(S21/R21)-1</f>
        <v>0.4149484536082475</v>
      </c>
      <c r="T22" s="18">
        <f t="shared" ref="T22" si="47">(T21/S21)-1</f>
        <v>0.27690578614889749</v>
      </c>
      <c r="U22" s="18">
        <f t="shared" ref="U22" si="48">(U21/T21)-1</f>
        <v>0.14119218161952163</v>
      </c>
      <c r="V22" s="18">
        <f t="shared" ref="V22" si="49">(V21/U21)-1</f>
        <v>7.4202127659574568E-2</v>
      </c>
    </row>
    <row r="23" spans="1:26" ht="20"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62">
        <f>R21/R5</f>
        <v>0.18282070818462526</v>
      </c>
      <c r="S23" s="62">
        <f t="shared" ref="S23:V23" si="50">S21/S5</f>
        <v>0.20095794392523364</v>
      </c>
      <c r="T23" s="62">
        <f t="shared" si="50"/>
        <v>0.21026164645820039</v>
      </c>
      <c r="U23" s="62">
        <f t="shared" si="50"/>
        <v>0.23011015911872704</v>
      </c>
      <c r="V23" s="62">
        <f t="shared" si="50"/>
        <v>0.20409297625063164</v>
      </c>
      <c r="Y23" s="40" t="s">
        <v>167</v>
      </c>
      <c r="Z23" s="41" t="s">
        <v>168</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c r="Y24" s="81">
        <f>Q100/Y102</f>
        <v>0</v>
      </c>
      <c r="Z24" s="82">
        <f>Q109/Y102</f>
        <v>9.2967519280831509E-3</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63">
        <v>11964000000</v>
      </c>
      <c r="S30" s="63">
        <v>16507000000</v>
      </c>
      <c r="T30" s="63">
        <v>21154000000</v>
      </c>
      <c r="U30" s="63">
        <v>23893000000</v>
      </c>
      <c r="V30" s="63">
        <v>26482000000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18">
        <f t="shared" ref="R31" si="63">(R30/Q30)-1</f>
        <v>-4.7148773494743557E-2</v>
      </c>
      <c r="S31" s="18">
        <f t="shared" ref="S31" si="64">(S30/R30)-1</f>
        <v>0.37972250083584091</v>
      </c>
      <c r="T31" s="18">
        <f t="shared" ref="T31" si="65">(T30/S30)-1</f>
        <v>0.28151693221057728</v>
      </c>
      <c r="U31" s="18">
        <f t="shared" ref="U31" si="66">(U30/T30)-1</f>
        <v>0.12947905833412121</v>
      </c>
      <c r="V31" s="18">
        <f t="shared" ref="V31" si="67">(V30/U30)-1</f>
        <v>0.10835809651362327</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62">
        <f>R30/R5</f>
        <v>0.11994225448129286</v>
      </c>
      <c r="S32" s="62">
        <f t="shared" ref="S32:V32" si="68">S30/S5</f>
        <v>0.12855919003115265</v>
      </c>
      <c r="T32" s="62">
        <f t="shared" si="68"/>
        <v>0.13499680918953413</v>
      </c>
      <c r="U32" s="62">
        <f t="shared" si="68"/>
        <v>0.14622399020807833</v>
      </c>
      <c r="V32" s="62">
        <f t="shared" si="68"/>
        <v>0.13381505811015665</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64">
        <v>3.77</v>
      </c>
      <c r="S33" s="64">
        <v>5.21</v>
      </c>
      <c r="T33" s="64">
        <v>6.67</v>
      </c>
      <c r="U33" s="64">
        <v>7.54</v>
      </c>
      <c r="V33" s="64">
        <v>8.36</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71"/>
    </row>
    <row r="37" spans="1:22" ht="19" x14ac:dyDescent="0.25">
      <c r="A37" s="19" t="s">
        <v>138</v>
      </c>
      <c r="B37" s="1"/>
      <c r="C37" s="24">
        <f>(C36-B36)/B36</f>
        <v>0</v>
      </c>
      <c r="D37" s="24">
        <f t="shared" ref="D37:G37" si="69">(D36-C36)/C36</f>
        <v>-0.4301044964424558</v>
      </c>
      <c r="E37" s="24">
        <f t="shared" si="69"/>
        <v>-0.34720316487324726</v>
      </c>
      <c r="F37" s="24">
        <f t="shared" si="69"/>
        <v>0.97934100790677103</v>
      </c>
      <c r="G37" s="24">
        <f t="shared" si="69"/>
        <v>6.9332275712189653E-2</v>
      </c>
      <c r="H37" s="24">
        <f t="shared" ref="H37" si="70">(H36-G36)/G36</f>
        <v>0.11245563535757203</v>
      </c>
      <c r="I37" s="24">
        <f t="shared" ref="I37" si="71">(I36-H36)/H36</f>
        <v>4.3141491027541216E-2</v>
      </c>
      <c r="J37" s="24">
        <f t="shared" ref="J37" si="72">(J36-I36)/I36</f>
        <v>2.9131513249259472E-2</v>
      </c>
      <c r="K37" s="24">
        <f t="shared" ref="K37" si="73">(K36-J36)/J36</f>
        <v>0.12488104709754919</v>
      </c>
      <c r="L37" s="24">
        <f t="shared" ref="L37" si="74">(L36-K36)/K36</f>
        <v>0.14940504257620726</v>
      </c>
      <c r="M37" s="24">
        <f t="shared" ref="M37" si="75">(M36-L36)/L36</f>
        <v>2.8758792939103994E-2</v>
      </c>
      <c r="N37" s="24">
        <f t="shared" ref="N37" si="76">(N36-M36)/M36</f>
        <v>3.7970971998240725E-2</v>
      </c>
      <c r="O37" s="24">
        <f t="shared" ref="O37" si="77">(O36-N36)/N36</f>
        <v>8.4745762711864403E-2</v>
      </c>
      <c r="P37" s="24">
        <f t="shared" ref="P37" si="78">(P36-O36)/O36</f>
        <v>0.17604166666666668</v>
      </c>
      <c r="Q37" s="24">
        <f t="shared" ref="Q37" si="79">(Q36-P36)/P36</f>
        <v>0</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80">D81/D5</f>
        <v>1.2810090849807491E-2</v>
      </c>
      <c r="E82" s="15">
        <f t="shared" si="80"/>
        <v>0.1812170218597958</v>
      </c>
      <c r="F82" s="15">
        <f t="shared" si="80"/>
        <v>0.14403991343602196</v>
      </c>
      <c r="G82" s="15">
        <f t="shared" si="80"/>
        <v>0.12134125094372496</v>
      </c>
      <c r="H82" s="15">
        <f t="shared" si="80"/>
        <v>4.0097919240961989E-2</v>
      </c>
      <c r="I82" s="15">
        <f t="shared" si="80"/>
        <v>4.8930137858324715E-2</v>
      </c>
      <c r="J82" s="15">
        <f t="shared" si="80"/>
        <v>4.8936672413047375E-2</v>
      </c>
      <c r="K82" s="15">
        <f t="shared" si="80"/>
        <v>4.7745528227182005E-2</v>
      </c>
      <c r="L82" s="15">
        <f t="shared" si="80"/>
        <v>3.9694692063808476E-2</v>
      </c>
      <c r="M82" s="15">
        <f t="shared" si="80"/>
        <v>3.4901199686803219E-2</v>
      </c>
      <c r="N82" s="15">
        <f t="shared" si="80"/>
        <v>3.6536740174139472E-2</v>
      </c>
      <c r="O82" s="15">
        <f t="shared" si="80"/>
        <v>5.498477929984779E-2</v>
      </c>
      <c r="P82" s="15">
        <f t="shared" si="80"/>
        <v>3.9406944986344131E-2</v>
      </c>
      <c r="Q82" s="15">
        <f t="shared" si="80"/>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79" t="s">
        <v>125</v>
      </c>
      <c r="Y84" s="80"/>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77" t="s">
        <v>117</v>
      </c>
      <c r="Y85" s="78"/>
    </row>
    <row r="86" spans="1:25" ht="20"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X86" s="46" t="s">
        <v>118</v>
      </c>
      <c r="Y86" s="47">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X87" s="46" t="s">
        <v>119</v>
      </c>
      <c r="Y87" s="47">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X88" s="46" t="s">
        <v>120</v>
      </c>
      <c r="Y88" s="47">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48" t="s">
        <v>121</v>
      </c>
      <c r="Y89" s="49">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46" t="s">
        <v>122</v>
      </c>
      <c r="Y90" s="47">
        <f>Q29</f>
        <v>1132000000</v>
      </c>
    </row>
    <row r="91" spans="1:25" ht="20" customHeight="1" x14ac:dyDescent="0.25">
      <c r="A91" s="19" t="s">
        <v>108</v>
      </c>
      <c r="B91" s="15">
        <f>(-1*B90)/B5</f>
        <v>134.27397260273972</v>
      </c>
      <c r="C91" s="15">
        <f t="shared" ref="C91:Q91" si="81">(-1*C90)/C5</f>
        <v>0.65323565323565325</v>
      </c>
      <c r="D91" s="15">
        <f t="shared" si="81"/>
        <v>0.10616117131039904</v>
      </c>
      <c r="E91" s="15">
        <f t="shared" si="81"/>
        <v>0.34436887548824779</v>
      </c>
      <c r="F91" s="15">
        <f t="shared" si="81"/>
        <v>0.96892901557955757</v>
      </c>
      <c r="G91" s="15">
        <f t="shared" si="81"/>
        <v>0.57888572700698837</v>
      </c>
      <c r="H91" s="15">
        <f t="shared" si="81"/>
        <v>0.13122648368807288</v>
      </c>
      <c r="I91" s="15">
        <f t="shared" si="81"/>
        <v>0.303244854544022</v>
      </c>
      <c r="J91" s="15">
        <f t="shared" si="81"/>
        <v>0.4040632472612008</v>
      </c>
      <c r="K91" s="15">
        <f t="shared" si="81"/>
        <v>0.2057776910492545</v>
      </c>
      <c r="L91" s="15">
        <f t="shared" si="81"/>
        <v>0.34709077520223025</v>
      </c>
      <c r="M91" s="15">
        <f t="shared" si="81"/>
        <v>0.10807916848156408</v>
      </c>
      <c r="N91" s="15">
        <f t="shared" si="81"/>
        <v>5.8263487671901704E-2</v>
      </c>
      <c r="O91" s="15">
        <f t="shared" si="81"/>
        <v>0.10248604769152714</v>
      </c>
      <c r="P91" s="15">
        <f t="shared" si="81"/>
        <v>0.12102632703491073</v>
      </c>
      <c r="Q91" s="15">
        <f t="shared" si="81"/>
        <v>8.7930568854189678E-2</v>
      </c>
      <c r="X91" s="46" t="s">
        <v>19</v>
      </c>
      <c r="Y91" s="47">
        <f>Q27</f>
        <v>13719000000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X92" s="48" t="s">
        <v>123</v>
      </c>
      <c r="Y92" s="49">
        <f>Y90/Y91</f>
        <v>8.2513302718857054E-2</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X93" s="50" t="s">
        <v>124</v>
      </c>
      <c r="Y93" s="51">
        <f>Y89*(1-Y92)</f>
        <v>5.6547260142206617E-2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X94" s="77" t="s">
        <v>126</v>
      </c>
      <c r="Y94" s="78"/>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X95" s="46" t="s">
        <v>127</v>
      </c>
      <c r="Y95" s="52">
        <f>[1]Treasuries!$C$8</f>
        <v>3.739E-2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46" t="s">
        <v>128</v>
      </c>
      <c r="Y96" s="53" cm="1">
        <f t="array" ref="Y96">_FV(A1,"Beta")</f>
        <v>2.032</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46" t="s">
        <v>129</v>
      </c>
      <c r="Y97" s="52">
        <v>8.4000000000000005E-2</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X98" s="50" t="s">
        <v>130</v>
      </c>
      <c r="Y98" s="51">
        <f>(Y95)+((Y96)*(Y97-Y95))</f>
        <v>0.13210152</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77" t="s">
        <v>137</v>
      </c>
      <c r="Y99" s="78"/>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46" t="s">
        <v>131</v>
      </c>
      <c r="Y100" s="47">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48" t="s">
        <v>134</v>
      </c>
      <c r="Y101" s="49">
        <f>Y100/Y104</f>
        <v>3.7959621937354252E-3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46" t="s">
        <v>132</v>
      </c>
      <c r="Y102" s="35" cm="1">
        <f t="array" ref="Y102">+_FV(A1,"Market cap",TRUE)</f>
        <v>813294800000</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X103" s="48" t="s">
        <v>135</v>
      </c>
      <c r="Y103" s="49">
        <f>Y102/Y104</f>
        <v>0.99620403780626454</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0" t="s">
        <v>133</v>
      </c>
      <c r="Y104" s="54">
        <f>Y100+Y102</f>
        <v>816393800000</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77" t="s">
        <v>136</v>
      </c>
      <c r="Y105" s="78"/>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22" t="s">
        <v>125</v>
      </c>
      <c r="Y106" s="21">
        <f>(Y101*Y93)+(Y103*Y98)</f>
        <v>0.13181471888600416</v>
      </c>
    </row>
    <row r="107" spans="1:25" ht="20" thickTop="1" x14ac:dyDescent="0.25">
      <c r="A107" s="19" t="s">
        <v>165</v>
      </c>
      <c r="B107" s="1">
        <f t="shared" ref="B107:P107" si="82">(B24*(1-$Y$92))+B79+B90+B83</f>
        <v>-61034464.173773602</v>
      </c>
      <c r="C107" s="1">
        <f t="shared" si="82"/>
        <v>-56970375.683358848</v>
      </c>
      <c r="D107" s="1">
        <f t="shared" si="82"/>
        <v>-90101807.128799468</v>
      </c>
      <c r="E107" s="1">
        <f t="shared" si="82"/>
        <v>-175476911.65536848</v>
      </c>
      <c r="F107" s="1">
        <f t="shared" si="82"/>
        <v>-322816894.52584004</v>
      </c>
      <c r="G107" s="1">
        <f t="shared" si="82"/>
        <v>-529333407.46410084</v>
      </c>
      <c r="H107" s="1">
        <f t="shared" si="82"/>
        <v>-89372337.269480288</v>
      </c>
      <c r="I107" s="1">
        <f t="shared" si="82"/>
        <v>-1166063674.0287194</v>
      </c>
      <c r="J107" s="1">
        <f t="shared" si="82"/>
        <v>-2363046574.3858881</v>
      </c>
      <c r="K107" s="1">
        <f t="shared" si="82"/>
        <v>-1799508572.5635979</v>
      </c>
      <c r="L107" s="1">
        <f t="shared" si="82"/>
        <v>-4439371193.8187914</v>
      </c>
      <c r="M107" s="1">
        <f t="shared" si="82"/>
        <v>-592492336.54056406</v>
      </c>
      <c r="N107" s="1">
        <f t="shared" si="82"/>
        <v>446398935.78249121</v>
      </c>
      <c r="O107" s="1">
        <f t="shared" si="82"/>
        <v>1103468474.3785992</v>
      </c>
      <c r="P107" s="1">
        <f t="shared" si="82"/>
        <v>2874993585.5383034</v>
      </c>
      <c r="Q107" s="1">
        <f>(Q24*(1-$Y$92))+Q79+Q90+Q83</f>
        <v>5943198338.0712891</v>
      </c>
      <c r="R107" s="25">
        <f>Q107*(1+$Y$108)</f>
        <v>7115216984.2760525</v>
      </c>
      <c r="S107" s="25">
        <f t="shared" ref="S107:V107" si="83">R107*(1+$Y$108)</f>
        <v>8518361638.5516529</v>
      </c>
      <c r="T107" s="25">
        <f t="shared" si="83"/>
        <v>10198211124.903786</v>
      </c>
      <c r="U107" s="25">
        <f t="shared" si="83"/>
        <v>12209332564.306894</v>
      </c>
      <c r="V107" s="25">
        <f t="shared" si="83"/>
        <v>14617053897.01384</v>
      </c>
      <c r="W107" s="26" t="s">
        <v>162</v>
      </c>
      <c r="X107" s="73" t="s">
        <v>140</v>
      </c>
      <c r="Y107" s="74"/>
    </row>
    <row r="108" spans="1:25" ht="19" x14ac:dyDescent="0.25">
      <c r="A108" s="19" t="s">
        <v>96</v>
      </c>
      <c r="B108" s="1"/>
      <c r="C108" s="15">
        <f t="shared" ref="C108:Q108" si="84">(C109/B109)-1</f>
        <v>-1.9424380837982591E-2</v>
      </c>
      <c r="D108" s="15">
        <f t="shared" si="84"/>
        <v>0.49429418780825896</v>
      </c>
      <c r="E108" s="15">
        <f t="shared" si="84"/>
        <v>0.81233752925821667</v>
      </c>
      <c r="F108" s="15">
        <f t="shared" si="84"/>
        <v>0.85846922985358876</v>
      </c>
      <c r="G108" s="15">
        <f t="shared" si="84"/>
        <v>0.61823160187023629</v>
      </c>
      <c r="H108" s="15">
        <f t="shared" si="84"/>
        <v>-0.98767091027470322</v>
      </c>
      <c r="I108" s="15">
        <f t="shared" si="84"/>
        <v>163.88314606741574</v>
      </c>
      <c r="J108" s="15">
        <f t="shared" si="84"/>
        <v>1.1021249544889029</v>
      </c>
      <c r="K108" s="15">
        <f t="shared" si="84"/>
        <v>-0.27556870149290369</v>
      </c>
      <c r="L108" s="15">
        <f t="shared" si="84"/>
        <v>1.6478348142939332</v>
      </c>
      <c r="M108" s="15">
        <f t="shared" si="84"/>
        <v>-0.94647185616251828</v>
      </c>
      <c r="N108" s="15">
        <f t="shared" si="84"/>
        <v>-5.3659850077126388</v>
      </c>
      <c r="O108" s="15">
        <f t="shared" si="84"/>
        <v>1.790289256198347</v>
      </c>
      <c r="P108" s="15">
        <f t="shared" si="84"/>
        <v>0.28952239911144018</v>
      </c>
      <c r="Q108" s="15">
        <f t="shared" si="84"/>
        <v>1.1708297444731555</v>
      </c>
      <c r="R108" s="69">
        <v>10013000000</v>
      </c>
      <c r="S108" s="69">
        <v>16730000000</v>
      </c>
      <c r="T108" s="69">
        <v>22882000000</v>
      </c>
      <c r="U108" s="69">
        <v>25693000000</v>
      </c>
      <c r="V108" s="69">
        <v>28392000000</v>
      </c>
      <c r="W108" s="26" t="s">
        <v>163</v>
      </c>
      <c r="X108" s="27" t="s">
        <v>141</v>
      </c>
      <c r="Y108" s="28">
        <f>(SUM(R6:V6)/5)</f>
        <v>0.1972033540756965</v>
      </c>
    </row>
    <row r="109" spans="1:25" ht="20" customHeight="1" x14ac:dyDescent="0.25">
      <c r="A109" s="72" t="s">
        <v>166</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26"/>
      <c r="S109" s="26"/>
      <c r="T109" s="26"/>
      <c r="U109" s="26"/>
      <c r="V109" s="70">
        <f>V108*(1+Y109)/(Y110-Y109)</f>
        <v>272451215558.20694</v>
      </c>
      <c r="W109" s="29" t="s">
        <v>142</v>
      </c>
      <c r="X109" s="30" t="s">
        <v>143</v>
      </c>
      <c r="Y109" s="31">
        <v>2.5000000000000001E-2</v>
      </c>
    </row>
    <row r="110" spans="1:25" ht="19" x14ac:dyDescent="0.25">
      <c r="R110" s="70">
        <f t="shared" ref="R110:U110" si="85">R109+R108</f>
        <v>10013000000</v>
      </c>
      <c r="S110" s="70">
        <f t="shared" si="85"/>
        <v>16730000000</v>
      </c>
      <c r="T110" s="70">
        <f t="shared" si="85"/>
        <v>22882000000</v>
      </c>
      <c r="U110" s="70">
        <f t="shared" si="85"/>
        <v>25693000000</v>
      </c>
      <c r="V110" s="70">
        <f>V109+V108</f>
        <v>300843215558.20691</v>
      </c>
      <c r="W110" s="29" t="s">
        <v>133</v>
      </c>
      <c r="X110" s="32" t="s">
        <v>144</v>
      </c>
      <c r="Y110" s="33">
        <f>Y106</f>
        <v>0.13181471888600416</v>
      </c>
    </row>
    <row r="111" spans="1:25" ht="19" x14ac:dyDescent="0.25">
      <c r="R111" s="75" t="s">
        <v>145</v>
      </c>
      <c r="S111" s="76"/>
    </row>
    <row r="112" spans="1:25" ht="20" x14ac:dyDescent="0.25">
      <c r="R112" s="34" t="s">
        <v>146</v>
      </c>
      <c r="S112" s="35">
        <f>NPV(Y110,R110,S110,T110,U110,V110)</f>
        <v>215327108004.67233</v>
      </c>
    </row>
    <row r="113" spans="18:19" ht="20" x14ac:dyDescent="0.25">
      <c r="R113" s="34" t="s">
        <v>147</v>
      </c>
      <c r="S113" s="35">
        <f>Q42</f>
        <v>22185000000</v>
      </c>
    </row>
    <row r="114" spans="18:19" ht="20" x14ac:dyDescent="0.25">
      <c r="R114" s="34" t="s">
        <v>131</v>
      </c>
      <c r="S114" s="35">
        <f>Y100</f>
        <v>3099000000</v>
      </c>
    </row>
    <row r="115" spans="18:19" ht="20" x14ac:dyDescent="0.25">
      <c r="R115" s="34" t="s">
        <v>148</v>
      </c>
      <c r="S115" s="35">
        <f>S112+S113-S114</f>
        <v>234413108004.67233</v>
      </c>
    </row>
    <row r="116" spans="18:19" ht="20" customHeight="1" x14ac:dyDescent="0.25">
      <c r="R116" s="34" t="s">
        <v>164</v>
      </c>
      <c r="S116" s="45">
        <f>Q36*(1+(W18*5))</f>
        <v>4496300737.147871</v>
      </c>
    </row>
    <row r="117" spans="18:19" ht="20" x14ac:dyDescent="0.25">
      <c r="R117" s="36" t="s">
        <v>149</v>
      </c>
      <c r="S117" s="56">
        <f>S115/S116</f>
        <v>52.134659514204806</v>
      </c>
    </row>
    <row r="118" spans="18:19" ht="20" x14ac:dyDescent="0.25">
      <c r="R118" s="34" t="s">
        <v>150</v>
      </c>
      <c r="S118" s="55" cm="1">
        <f t="array" ref="S118">_FV(A1,"Price",TRUE)</f>
        <v>256.60000000000002</v>
      </c>
    </row>
    <row r="119" spans="18:19" ht="20" x14ac:dyDescent="0.25">
      <c r="R119" s="37" t="s">
        <v>151</v>
      </c>
      <c r="S119" s="38">
        <f>S117/S118-1</f>
        <v>-0.79682517726342628</v>
      </c>
    </row>
    <row r="120" spans="18:19" ht="20" x14ac:dyDescent="0.25">
      <c r="R120" s="37" t="s">
        <v>152</v>
      </c>
      <c r="S120" s="39"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8"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2023-06-26T12:04:44Z</dcterms:modified>
</cp:coreProperties>
</file>