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259F6F5-823C-7848-B86A-24CA15B3ABB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4" i="1" l="1"/>
  <c r="J115" i="1"/>
  <c r="I106" i="1"/>
  <c r="J106" i="1" s="1"/>
  <c r="K106" i="1" s="1"/>
  <c r="L106" i="1" s="1"/>
  <c r="M106" i="1" s="1"/>
  <c r="B106" i="1"/>
  <c r="C106" i="1"/>
  <c r="D106" i="1"/>
  <c r="E106" i="1"/>
  <c r="F106" i="1"/>
  <c r="G106" i="1"/>
  <c r="I31" i="1"/>
  <c r="J31" i="1"/>
  <c r="K31" i="1"/>
  <c r="L31" i="1"/>
  <c r="M31" i="1"/>
  <c r="H31" i="1"/>
  <c r="H30" i="1"/>
  <c r="I30" i="1"/>
  <c r="J30" i="1"/>
  <c r="K30" i="1"/>
  <c r="L30" i="1"/>
  <c r="M30" i="1"/>
  <c r="I21" i="1"/>
  <c r="J21" i="1"/>
  <c r="K21" i="1"/>
  <c r="L21" i="1"/>
  <c r="M21" i="1"/>
  <c r="I22" i="1"/>
  <c r="J22" i="1"/>
  <c r="K22" i="1"/>
  <c r="L22" i="1"/>
  <c r="M22" i="1"/>
  <c r="Q8" i="1"/>
  <c r="H22" i="1"/>
  <c r="O8" i="1" s="1"/>
  <c r="I5" i="1"/>
  <c r="H107" i="1"/>
  <c r="H21" i="1"/>
  <c r="O5" i="1" s="1"/>
  <c r="H5" i="1"/>
  <c r="N5" i="1" s="1"/>
  <c r="J117" i="1" a="1"/>
  <c r="J117" i="1" s="1"/>
  <c r="P95" i="1" a="1"/>
  <c r="P95" i="1" s="1"/>
  <c r="P101" i="1" a="1"/>
  <c r="P101" i="1" s="1"/>
  <c r="Q17" i="1" s="1"/>
  <c r="N20" i="1"/>
  <c r="L5" i="1"/>
  <c r="M5" i="1"/>
  <c r="P14" i="1"/>
  <c r="J112" i="1"/>
  <c r="P86" i="1"/>
  <c r="P85" i="1"/>
  <c r="P90" i="1"/>
  <c r="P89" i="1"/>
  <c r="P87" i="1"/>
  <c r="D36" i="1"/>
  <c r="E36" i="1"/>
  <c r="F36" i="1"/>
  <c r="G36" i="1"/>
  <c r="C36" i="1"/>
  <c r="Q14" i="1"/>
  <c r="O14" i="1"/>
  <c r="N14" i="1"/>
  <c r="P8" i="1"/>
  <c r="N8" i="1"/>
  <c r="K5" i="1"/>
  <c r="J5" i="1"/>
  <c r="G107" i="1"/>
  <c r="F107" i="1"/>
  <c r="E107" i="1"/>
  <c r="D107" i="1"/>
  <c r="C107"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P97" i="1" l="1"/>
  <c r="Q5" i="1"/>
  <c r="P20" i="1"/>
  <c r="P17" i="1"/>
  <c r="O20" i="1"/>
  <c r="P107" i="1"/>
  <c r="O17" i="1"/>
  <c r="P99" i="1"/>
  <c r="J113" i="1" s="1"/>
  <c r="N17" i="1"/>
  <c r="Q11" i="1"/>
  <c r="N11" i="1"/>
  <c r="P88" i="1"/>
  <c r="O11" i="1"/>
  <c r="P5" i="1"/>
  <c r="P11" i="1"/>
  <c r="P91" i="1"/>
  <c r="P103" i="1"/>
  <c r="P102" i="1" s="1"/>
  <c r="G5" i="1"/>
  <c r="F5" i="1"/>
  <c r="E5" i="1"/>
  <c r="D5" i="1"/>
  <c r="C5" i="1"/>
  <c r="P92" i="1" l="1"/>
  <c r="J109" i="1"/>
  <c r="I109" i="1"/>
  <c r="K109" i="1"/>
  <c r="L109" i="1"/>
  <c r="P100" i="1"/>
  <c r="P105" i="1" s="1"/>
  <c r="P109" i="1" l="1"/>
  <c r="M108" i="1" s="1"/>
  <c r="M109" i="1" s="1"/>
  <c r="Q20" i="1" l="1"/>
  <c r="J111" i="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<sst xmlns="http://schemas.openxmlformats.org/spreadsheetml/2006/main" count="317" uniqueCount="167">
  <si>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</si>
  <si>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</si>
  <si>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</si>
  <si>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</si>
  <si>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</si>
  <si>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</si>
  <si>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</si>
  <si>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</si>
  <si>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</si>
  <si>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</si>
  <si>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</si>
  <si>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</si>
  <si>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</si>
  <si>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</si>
  <si>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</si>
  <si>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</si>
  <si>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</si>
  <si>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</si>
  <si>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</si>
  <si>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</si>
  <si>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</si>
  <si>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</si>
  <si>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</si>
  <si>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</si>
  <si>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</si>
  <si>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</si>
  <si>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</si>
  <si>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</si>
  <si>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</si>
  <si>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</si>
  <si>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</si>
  <si>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</si>
  <si>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</si>
  <si>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</si>
  <si>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</si>
  <si>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</si>
  <si>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</si>
  <si>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</si>
  <si>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</si>
  <si>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</si>
  <si>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</si>
  <si>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</si>
  <si>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</si>
  <si>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</si>
  <si>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</si>
  <si>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</si>
  <si>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</si>
  <si>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</si>
  <si>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</si>
  <si>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</si>
  <si>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</si>
  <si>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</si>
  <si>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</si>
  <si>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</si>
  <si>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</si>
  <si>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</si>
  <si>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</si>
  <si>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</si>
  <si>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</si>
  <si>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</si>
  <si>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</si>
  <si>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</si>
  <si>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</si>
  <si>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</si>
  <si>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</si>
  <si>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</si>
  <si>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</si>
  <si>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</si>
  <si>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</si>
  <si>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</si>
  <si>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</si>
  <si>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</si>
  <si>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</si>
  <si>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</si>
  <si>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</si>
  <si>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</si>
  <si>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</si>
  <si>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</si>
  <si>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</si>
  <si>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</si>
  <si>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</si>
  <si>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</si>
  <si>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</si>
  <si>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</si>
  <si>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</si>
  <si>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</si>
  <si>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</si>
  <si>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</si>
  <si>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</si>
  <si>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</si>
  <si>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</si>
  <si>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</si>
  <si>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</si>
  <si>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</si>
  <si>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</si>
  <si>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</si>
  <si>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</si>
  <si>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</si>
  <si>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</si>
  <si>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</si>
  <si>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</si>
  <si>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</si>
  <si>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</si>
  <si>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</si>
  <si>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</si>
  <si>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</si>
  <si>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</si>
  <si>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</si>
  <si>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</si>
  <si>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</si>
  <si>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</si>
  <si>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</si>
  <si>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</si>
  <si>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</si>
  <si>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</si>
  <si>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</si>
  <si>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</si>
  <si>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</si>
  <si>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</si>
  <si>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</si>
  <si>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</si>
  <si>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</si>
  <si>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</si>
  <si>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</si>
  <si>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</si>
  <si>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</si>
  <si>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</si>
  <si>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</si>
  <si>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</si>
  <si>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</si>
  <si>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</si>
  <si>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</si>
  <si>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</si>
  <si>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</si>
  <si>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</si>
  <si>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</si>
  <si>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</si>
  <si>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</si>
  <si>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</si>
  <si>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</si>
  <si>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</si>
  <si>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</si>
  <si>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</si>
  <si>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</si>
  <si>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</si>
  <si>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</si>
  <si>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</si>
  <si>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</si>
  <si>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</si>
  <si>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</si>
  <si>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</si>
  <si>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</si>
  <si>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</si>
  <si>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</si>
  <si>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</si>
  <si>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</si>
  <si>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</si>
  <si>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</si>
  <si>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</si>
  <si>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</si>
  <si>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</si>
  <si>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</si>
  <si>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</si>
  <si>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</si>
  <si>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Proj</t>
  </si>
  <si>
    <t>Unlevered FCF Forecast</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</si>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</sst>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6" xfId="0" applyNumberFormat="1" applyFont="1" applyBorder="1" applyAlignment="1">
      <alignment horizontal="center"/>
    </xf>
    <xf numFmtId="9" fontId="12" fillId="0" borderId="0" xfId="0" applyNumberFormat="1" applyFont="1" applyAlignment="1">
      <alignment horizontal="center"/>
    </xf>
    <xf numFmtId="0" fontId="13" fillId="3" borderId="6" xfId="0" applyFont="1" applyFill="1" applyBorder="1" applyAlignment="1">
      <alignment horizontal="center" vertical="center" wrapText="1"/>
    </xf>
    <xf numFmtId="9" fontId="12" fillId="0" borderId="7" xfId="0" applyNumberFormat="1" applyFont="1" applyBorder="1" applyAlignment="1">
      <alignment horizontal="center"/>
    </xf>
    <xf numFmtId="2" fontId="12" fillId="0" borderId="8" xfId="0" applyNumberFormat="1" applyFont="1" applyBorder="1" applyAlignment="1">
      <alignment horizontal="center"/>
    </xf>
    <xf numFmtId="37" fontId="1" fillId="0" borderId="0" xfId="0" applyNumberFormat="1" applyFont="1"/>
    <xf numFmtId="10" fontId="1" fillId="0" borderId="0" xfId="0" applyNumberFormat="1" applyFont="1"/>
    <xf numFmtId="0" fontId="13" fillId="3" borderId="7" xfId="0" applyFont="1" applyFill="1" applyBorder="1" applyAlignment="1">
      <alignment horizontal="left" vertical="center" wrapText="1"/>
    </xf>
    <xf numFmtId="10" fontId="13" fillId="3" borderId="8" xfId="0" applyNumberFormat="1" applyFont="1" applyFill="1" applyBorder="1"/>
    <xf numFmtId="9" fontId="16" fillId="5" borderId="9" xfId="0" applyNumberFormat="1" applyFont="1" applyFill="1" applyBorder="1" applyAlignment="1">
      <alignment wrapText="1"/>
    </xf>
    <xf numFmtId="0" fontId="16" fillId="5" borderId="7" xfId="0" applyFont="1" applyFill="1" applyBorder="1"/>
    <xf numFmtId="0" fontId="0" fillId="5" borderId="0" xfId="0" applyFill="1"/>
    <xf numFmtId="164" fontId="1" fillId="5" borderId="9" xfId="0" applyNumberFormat="1" applyFont="1" applyFill="1" applyBorder="1" applyAlignment="1">
      <alignment wrapText="1"/>
    </xf>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164" fontId="1" fillId="5" borderId="10" xfId="0" applyNumberFormat="1" applyFont="1" applyFill="1" applyBorder="1"/>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10" fontId="1" fillId="5" borderId="8" xfId="0" applyNumberFormat="1" applyFont="1" applyFill="1" applyBorder="1" applyAlignment="1">
      <alignment horizontal="right" vertical="center"/>
    </xf>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10" fontId="1" fillId="5" borderId="10" xfId="0" applyNumberFormat="1" applyFont="1" applyFill="1" applyBorder="1" applyAlignment="1">
      <alignment horizontal="right" vertical="center"/>
    </xf>
    <xf numFmtId="9" fontId="13" fillId="3" borderId="8" xfId="1" applyFont="1" applyFill="1" applyBorder="1"/>
    <xf numFmtId="0" fontId="13" fillId="3" borderId="8" xfId="0" applyFont="1" applyFill="1" applyBorder="1" applyAlignment="1">
      <alignment horizontal="right"/>
    </xf>
    <xf numFmtId="9" fontId="12" fillId="0" borderId="13" xfId="0" applyNumberFormat="1" applyFont="1" applyBorder="1" applyAlignment="1">
      <alignment horizontal="center"/>
    </xf>
    <xf numFmtId="0" fontId="13" fillId="3" borderId="13" xfId="0" applyFont="1" applyFill="1" applyBorder="1" applyAlignment="1">
      <alignment horizontal="center" vertical="center" wrapText="1"/>
    </xf>
    <xf numFmtId="0" fontId="13" fillId="7" borderId="6"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2" fillId="5" borderId="9" xfId="0" applyFont="1" applyFill="1" applyBorder="1" applyAlignment="1">
      <alignment horizontal="left" vertical="center" wrapText="1"/>
    </xf>
    <xf numFmtId="164" fontId="12" fillId="5" borderId="10" xfId="0" applyNumberFormat="1" applyFont="1" applyFill="1" applyBorder="1"/>
    <xf numFmtId="0" fontId="13" fillId="5" borderId="9" xfId="0" applyFont="1" applyFill="1" applyBorder="1" applyAlignment="1">
      <alignment horizontal="left" vertical="center" wrapText="1"/>
    </xf>
    <xf numFmtId="10" fontId="13" fillId="5" borderId="10" xfId="0" applyNumberFormat="1" applyFont="1" applyFill="1" applyBorder="1"/>
    <xf numFmtId="0" fontId="13" fillId="5" borderId="7" xfId="0" applyFont="1" applyFill="1" applyBorder="1" applyAlignment="1">
      <alignment horizontal="left" vertical="center" wrapText="1"/>
    </xf>
    <xf numFmtId="10" fontId="13" fillId="5" borderId="8" xfId="0" applyNumberFormat="1" applyFont="1" applyFill="1" applyBorder="1"/>
    <xf numFmtId="10" fontId="12" fillId="5" borderId="10" xfId="0" applyNumberFormat="1" applyFont="1" applyFill="1" applyBorder="1"/>
    <xf numFmtId="39" fontId="12" fillId="5" borderId="10" xfId="0" applyNumberFormat="1" applyFont="1" applyFill="1" applyBorder="1"/>
    <xf numFmtId="164" fontId="13" fillId="5" borderId="8" xfId="0" applyNumberFormat="1" applyFont="1" applyFill="1" applyBorder="1"/>
    <xf numFmtId="167" fontId="1" fillId="5" borderId="10" xfId="0" applyNumberFormat="1" applyFont="1" applyFill="1" applyBorder="1"/>
    <xf numFmtId="168" fontId="13" fillId="3" borderId="10" xfId="0" applyNumberFormat="1" applyFont="1" applyFill="1" applyBorder="1"/>
    <xf numFmtId="0" fontId="9" fillId="3" borderId="1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7" borderId="13" xfId="0" applyFont="1" applyFill="1" applyBorder="1" applyAlignment="1">
      <alignment horizontal="center" vertical="center" wrapText="1"/>
    </xf>
    <xf numFmtId="164" fontId="6" fillId="0" borderId="0" xfId="0" applyNumberFormat="1" applyFont="1"/>
    <xf numFmtId="169" fontId="12" fillId="0" borderId="7" xfId="0" applyNumberFormat="1" applyFont="1" applyBorder="1" applyAlignment="1">
      <alignment horizontal="center"/>
    </xf>
    <xf numFmtId="169" fontId="12" fillId="0" borderId="14" xfId="0" applyNumberFormat="1" applyFont="1" applyBorder="1" applyAlignment="1">
      <alignment horizontal="center"/>
    </xf>
    <xf numFmtId="169" fontId="12"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5" xfId="0" applyNumberFormat="1" applyFont="1" applyBorder="1"/>
    <xf numFmtId="0" fontId="1" fillId="0" borderId="0" xfId="0" applyFont="1" applyAlignment="1">
      <alignment indent="1"/>
    </xf>
    <xf numFmtId="37" fontId="10" fillId="0" borderId="0" xfId="0" applyNumberFormat="1" applyFont="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1'!$B$108:$G$108</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33866</xdr:colOff>
      <xdr:row>109</xdr:row>
      <xdr:rowOff>12699</xdr:rowOff>
    </xdr:from>
    <xdr:to>
      <xdr:col>16</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1.6120000000000001</v>
    <v>-3.23</v>
    <v>-2.5242000000000001E-2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126.8</v>
    <v>Software &amp; IT Services</v>
    <v>Stock</v>
    <v>45100.999527719534</v>
    <v>0</v>
    <v>124</v>
    <v>79759200000</v>
    <v>AIRBNB, INC.</v>
    <v>AIRBNB, INC.</v>
    <v>125.99</v>
    <v>41.569499999999998</v>
    <v>127.96</v>
    <v>124.73</v>
    <v>639454800</v>
    <v>ABNB</v>
    <v>AIRBNB, INC. (XNAS:ABNB)</v>
    <v>6375</v>
    <v>6381129</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2" activePane="bottomRight" state="frozen"/>
      <selection pane="topRight"/>
      <selection pane="bottomLeft"/>
      <selection pane="bottomRight" activeCell="J100" sqref="J100"/>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75">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5">
        <v>9513000000</v>
      </c>
      <c r="I4" s="15">
        <v>10757000000</v>
      </c>
      <c r="J4" s="15">
        <v>12341000000</v>
      </c>
      <c r="K4" s="15">
        <v>14474000000</v>
      </c>
      <c r="L4" s="15">
        <v>16285000000</v>
      </c>
      <c r="M4" s="15">
        <v>18012000000</v>
      </c>
      <c r="N4" s="45" t="s">
        <v>106</v>
      </c>
      <c r="O4" s="45" t="s">
        <v>107</v>
      </c>
      <c r="P4" s="60" t="s">
        <v>108</v>
      </c>
      <c r="Q4" s="21" t="s">
        <v>109</v>
      </c>
    </row>
    <row r="5" spans="1:39" ht="19" x14ac:dyDescent="0.25">
      <c r="A5" s="17" t="s">
        <v>93</v>
      </c>
      <c r="B5" s="1"/>
      <c r="C5" s="18">
        <f>(C4/B4)-1</f>
        <v>0.42559825991979605</v>
      </c>
      <c r="D5" s="18">
        <f>(D4/C4)-1</f>
        <v>0.31578826309527552</v>
      </c>
      <c r="E5" s="18">
        <f>(E4/D4)-1</f>
        <v>-0.29697586321929048</v>
      </c>
      <c r="F5" s="18">
        <f t="shared" ref="F5:K5" si="0">(F4/E4)-1</f>
        <v>0.77365513399299446</v>
      </c>
      <c r="G5" s="18">
        <f t="shared" si="0"/>
        <v>0.40175841488978192</v>
      </c>
      <c r="H5" s="16">
        <f t="shared" si="0"/>
        <v>0.13263483748065252</v>
      </c>
      <c r="I5" s="16">
        <f>(I4/H4)-1</f>
        <v>0.13076842215915074</v>
      </c>
      <c r="J5" s="16">
        <f t="shared" si="0"/>
        <v>0.14725295156642182</v>
      </c>
      <c r="K5" s="16">
        <f t="shared" si="0"/>
        <v>0.17283850579369586</v>
      </c>
      <c r="L5" s="16">
        <f t="shared" ref="L5" si="1">(L4/K4)-1</f>
        <v>0.12512090645295015</v>
      </c>
      <c r="M5" s="16">
        <f t="shared" ref="M5" si="2">(M4/L4)-1</f>
        <v>0.10604851089960077</v>
      </c>
      <c r="N5" s="44">
        <f>(G5+F5+H5)/3</f>
        <v>0.43601612878780965</v>
      </c>
      <c r="O5" s="44">
        <f>(G21+F21+H21)/3</f>
        <v>2.0288218349181055</v>
      </c>
      <c r="P5" s="44">
        <f>(G30+F30+E30)/3</f>
        <v>-0.50056919516481246</v>
      </c>
      <c r="Q5" s="19">
        <f>(G107+F107+H107)/3</f>
        <v>-1.2289317521522627</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63"/>
      <c r="N7" s="60" t="s">
        <v>110</v>
      </c>
      <c r="O7" s="45" t="s">
        <v>111</v>
      </c>
      <c r="P7" s="60" t="s">
        <v>112</v>
      </c>
      <c r="Q7" s="21" t="s">
        <v>113</v>
      </c>
    </row>
    <row r="8" spans="1:39" ht="19" x14ac:dyDescent="0.25">
      <c r="A8" s="5" t="s">
        <v>4</v>
      </c>
      <c r="B8" s="2">
        <v>0.74719999999999998</v>
      </c>
      <c r="C8" s="2">
        <v>0.76339999999999997</v>
      </c>
      <c r="D8" s="2">
        <v>0.751</v>
      </c>
      <c r="E8" s="2">
        <v>0.74070000000000003</v>
      </c>
      <c r="F8" s="2">
        <v>0.80710000000000004</v>
      </c>
      <c r="G8" s="2">
        <v>0.82150000000000001</v>
      </c>
      <c r="H8" s="2"/>
      <c r="N8" s="44">
        <f>G8</f>
        <v>0.82150000000000001</v>
      </c>
      <c r="O8" s="44">
        <f>H22</f>
        <v>0.34216335540838855</v>
      </c>
      <c r="P8" s="44">
        <f>G31</f>
        <v>0.22539999999999999</v>
      </c>
      <c r="Q8" s="19">
        <f>H108/H4</f>
        <v>0.35235992851886894</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94</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60" t="s">
        <v>95</v>
      </c>
      <c r="O10" s="61" t="s">
        <v>96</v>
      </c>
      <c r="P10" s="61" t="s">
        <v>97</v>
      </c>
      <c r="Q10" s="61" t="s">
        <v>98</v>
      </c>
      <c r="R10" s="18"/>
    </row>
    <row r="11" spans="1:39" ht="19" x14ac:dyDescent="0.25">
      <c r="A11" s="5" t="s">
        <v>6</v>
      </c>
      <c r="B11" s="1">
        <v>327156000</v>
      </c>
      <c r="C11" s="1">
        <v>479487000</v>
      </c>
      <c r="D11" s="1">
        <v>697181000</v>
      </c>
      <c r="E11" s="1">
        <v>1134851000</v>
      </c>
      <c r="F11" s="1">
        <v>835324000</v>
      </c>
      <c r="G11" s="1">
        <v>950000000</v>
      </c>
      <c r="H11" s="1"/>
      <c r="N11" s="44">
        <f>(G10+F10+E10)/3</f>
        <v>0.41051960633031248</v>
      </c>
      <c r="O11" s="44">
        <f>(G14+F14+E14)/3</f>
        <v>0.43828694165068605</v>
      </c>
      <c r="P11" s="44">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60" t="s">
        <v>114</v>
      </c>
      <c r="O13" s="60" t="s">
        <v>115</v>
      </c>
      <c r="P13" s="60" t="s">
        <v>116</v>
      </c>
      <c r="Q13" s="61" t="s">
        <v>117</v>
      </c>
    </row>
    <row r="14" spans="1:39" ht="19" x14ac:dyDescent="0.25">
      <c r="A14" s="17" t="s">
        <v>99</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44">
        <f>G29/G73</f>
        <v>0.34046762589928059</v>
      </c>
      <c r="O14" s="19">
        <f>G29/G55</f>
        <v>0.11803217358772915</v>
      </c>
      <c r="P14" s="44">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60" t="s">
        <v>119</v>
      </c>
      <c r="O16" s="21" t="s">
        <v>154</v>
      </c>
      <c r="P16" s="21" t="s">
        <v>155</v>
      </c>
      <c r="Q16" s="46" t="s">
        <v>156</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64">
        <f>P101/H4</f>
        <v>8.3842321034374017</v>
      </c>
      <c r="P17" s="64">
        <f>P101/H29</f>
        <v>35.028194993412384</v>
      </c>
      <c r="Q17" s="65">
        <f>P101/H108</f>
        <v>23.794510739856801</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62" t="s">
        <v>157</v>
      </c>
      <c r="O19" s="21" t="s">
        <v>158</v>
      </c>
      <c r="P19" s="61" t="s">
        <v>159</v>
      </c>
      <c r="Q19" s="46" t="s">
        <v>160</v>
      </c>
    </row>
    <row r="20" spans="1:18" ht="19" x14ac:dyDescent="0.25">
      <c r="A20" s="6" t="s">
        <v>14</v>
      </c>
      <c r="B20" s="10">
        <v>36646000</v>
      </c>
      <c r="C20" s="10">
        <v>155577000</v>
      </c>
      <c r="D20" s="10">
        <v>-287573000</v>
      </c>
      <c r="E20" s="10">
        <v>-4384374000</v>
      </c>
      <c r="F20" s="10">
        <v>275711000</v>
      </c>
      <c r="G20" s="10">
        <v>2094000000</v>
      </c>
      <c r="H20" s="72">
        <v>3255000000</v>
      </c>
      <c r="I20" s="72">
        <v>3883000001</v>
      </c>
      <c r="J20" s="72">
        <v>4701000002</v>
      </c>
      <c r="K20" s="72">
        <v>5324000003</v>
      </c>
      <c r="L20" s="72">
        <v>6543000004</v>
      </c>
      <c r="M20" s="72">
        <v>7942000005</v>
      </c>
      <c r="N20" s="47">
        <f>G41-G57-G62</f>
        <v>7281000000</v>
      </c>
      <c r="O20" s="64">
        <f>P101/I4</f>
        <v>7.4146323324346941</v>
      </c>
      <c r="P20" s="66">
        <f>P101/I29</f>
        <v>30.40762485703393</v>
      </c>
      <c r="Q20" s="65">
        <f>P101/I106</f>
        <v>21.057752226370976</v>
      </c>
    </row>
    <row r="21" spans="1:18" ht="19" customHeight="1" x14ac:dyDescent="0.25">
      <c r="A21" s="17" t="s">
        <v>100</v>
      </c>
      <c r="B21" s="1"/>
      <c r="C21" s="18">
        <f>(C20/B20)-1</f>
        <v>3.2454019538285213</v>
      </c>
      <c r="D21" s="18">
        <f>(D20/C20)-1</f>
        <v>-2.8484287523220013</v>
      </c>
      <c r="E21" s="18">
        <f>(E20/D20)-1</f>
        <v>14.24612533165492</v>
      </c>
      <c r="F21" s="18">
        <f t="shared" ref="F21:H21" si="5">(F20/E20)-1</f>
        <v>-1.0628849181205799</v>
      </c>
      <c r="G21" s="18">
        <f t="shared" si="5"/>
        <v>6.5949091621299116</v>
      </c>
      <c r="H21" s="16">
        <f t="shared" si="5"/>
        <v>0.55444126074498556</v>
      </c>
      <c r="I21" s="16">
        <f t="shared" ref="I21" si="6">(I20/H20)-1</f>
        <v>0.19293394807987707</v>
      </c>
      <c r="J21" s="16">
        <f t="shared" ref="J21" si="7">(J20/I20)-1</f>
        <v>0.21066185959035244</v>
      </c>
      <c r="K21" s="16">
        <f t="shared" ref="K21" si="8">(K20/J20)-1</f>
        <v>0.13252499483832159</v>
      </c>
      <c r="L21" s="16">
        <f t="shared" ref="L21" si="9">(L20/K20)-1</f>
        <v>0.22896318563356699</v>
      </c>
      <c r="M21" s="16">
        <f t="shared" ref="M21" si="10">(M20/L20)-1</f>
        <v>0.2138162922428144</v>
      </c>
      <c r="P21" s="18"/>
      <c r="Q21" s="18"/>
      <c r="R21" s="18"/>
    </row>
    <row r="22" spans="1:18" ht="19" x14ac:dyDescent="0.25">
      <c r="A22" s="5" t="s">
        <v>15</v>
      </c>
      <c r="B22" s="2">
        <v>1.43E-2</v>
      </c>
      <c r="C22" s="2">
        <v>4.2599999999999999E-2</v>
      </c>
      <c r="D22" s="2">
        <v>-5.9799999999999999E-2</v>
      </c>
      <c r="E22" s="2">
        <v>-1.2978000000000001</v>
      </c>
      <c r="F22" s="2">
        <v>4.5999999999999999E-2</v>
      </c>
      <c r="G22" s="2">
        <v>0.24929999999999999</v>
      </c>
      <c r="H22" s="73">
        <f>H20/H4</f>
        <v>0.34216335540838855</v>
      </c>
      <c r="I22" s="73">
        <f t="shared" ref="I22:M22" si="11">I20/I4</f>
        <v>0.36097424941898298</v>
      </c>
      <c r="J22" s="73">
        <f t="shared" si="11"/>
        <v>0.38092537087756262</v>
      </c>
      <c r="K22" s="73">
        <f t="shared" si="11"/>
        <v>0.3678319747823684</v>
      </c>
      <c r="L22" s="73">
        <f t="shared" si="11"/>
        <v>0.40178078010439056</v>
      </c>
      <c r="M22" s="73">
        <f t="shared" si="11"/>
        <v>0.44092827031978682</v>
      </c>
    </row>
    <row r="23" spans="1:18" ht="19" x14ac:dyDescent="0.25">
      <c r="A23" s="6" t="s">
        <v>16</v>
      </c>
      <c r="B23" s="10">
        <v>-81362000</v>
      </c>
      <c r="C23" s="10">
        <v>18744000</v>
      </c>
      <c r="D23" s="10">
        <v>-501543000</v>
      </c>
      <c r="E23" s="10">
        <v>-3590147000</v>
      </c>
      <c r="F23" s="10">
        <v>429317000</v>
      </c>
      <c r="G23" s="10">
        <v>1891000000</v>
      </c>
      <c r="H23" s="63"/>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63"/>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69">
        <v>2277000000</v>
      </c>
      <c r="I29" s="69">
        <v>2623000000</v>
      </c>
      <c r="J29" s="69">
        <v>3167000000</v>
      </c>
      <c r="K29" s="69">
        <v>3758000000</v>
      </c>
      <c r="L29" s="69">
        <v>4588000000</v>
      </c>
      <c r="M29" s="69">
        <v>5726000000</v>
      </c>
    </row>
    <row r="30" spans="1:18" ht="20" customHeight="1" thickTop="1" x14ac:dyDescent="0.25">
      <c r="A30" s="17" t="s">
        <v>102</v>
      </c>
      <c r="B30" s="1"/>
      <c r="C30" s="18">
        <f>(C29/B29)-1</f>
        <v>-0.75930103075122068</v>
      </c>
      <c r="D30" s="18">
        <f>(D29/C29)-1</f>
        <v>38.996381969157767</v>
      </c>
      <c r="E30" s="18">
        <f>(E29/D29)-1</f>
        <v>5.7988296687571088</v>
      </c>
      <c r="F30" s="18">
        <f t="shared" ref="F30:G30" si="12">(F29/E29)-1</f>
        <v>-0.92321574553363828</v>
      </c>
      <c r="G30" s="18">
        <f t="shared" si="12"/>
        <v>-6.377321508717908</v>
      </c>
      <c r="H30" s="16">
        <f t="shared" ref="H30" si="13">(H29/G29)-1</f>
        <v>0.20285261489698891</v>
      </c>
      <c r="I30" s="16">
        <f t="shared" ref="I30" si="14">(I29/H29)-1</f>
        <v>0.15195432586736946</v>
      </c>
      <c r="J30" s="16">
        <f t="shared" ref="J30" si="15">(J29/I29)-1</f>
        <v>0.2073961113229128</v>
      </c>
      <c r="K30" s="16">
        <f t="shared" ref="K30" si="16">(K29/J29)-1</f>
        <v>0.18661193558572786</v>
      </c>
      <c r="L30" s="16">
        <f t="shared" ref="L30" si="17">(L29/K29)-1</f>
        <v>0.22086216072378928</v>
      </c>
      <c r="M30" s="16">
        <f t="shared" ref="M30" si="18">(M29/L29)-1</f>
        <v>0.24803836094158682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70">
        <f>H29/H4</f>
        <v>0.23935666982024598</v>
      </c>
      <c r="I31" s="70">
        <f t="shared" ref="I31:M31" si="19">I29/I4</f>
        <v>0.24384121967091196</v>
      </c>
      <c r="J31" s="70">
        <f t="shared" si="19"/>
        <v>0.2566242605947654</v>
      </c>
      <c r="K31" s="70">
        <f t="shared" si="19"/>
        <v>0.25963797153516649</v>
      </c>
      <c r="L31" s="70">
        <f t="shared" si="19"/>
        <v>0.28173165489714463</v>
      </c>
      <c r="M31" s="70">
        <f t="shared" si="19"/>
        <v>0.31789917832556075</v>
      </c>
    </row>
    <row r="32" spans="1:18" ht="19" x14ac:dyDescent="0.25">
      <c r="A32" s="5" t="s">
        <v>24</v>
      </c>
      <c r="B32" s="12">
        <v>-0.13</v>
      </c>
      <c r="C32" s="12">
        <v>-0.03</v>
      </c>
      <c r="D32" s="12">
        <v>-1.29</v>
      </c>
      <c r="E32" s="12">
        <v>-16.12</v>
      </c>
      <c r="F32" s="12">
        <v>-0.56999999999999995</v>
      </c>
      <c r="G32" s="12">
        <v>3.07</v>
      </c>
      <c r="H32" s="71">
        <v>3.5</v>
      </c>
      <c r="I32" s="71">
        <v>4.03</v>
      </c>
      <c r="J32" s="71">
        <v>5.0199999999999996</v>
      </c>
      <c r="K32" s="71">
        <v>5.96</v>
      </c>
      <c r="L32" s="71">
        <v>7.28</v>
      </c>
      <c r="M32" s="71">
        <v>9.09</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118</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91</v>
      </c>
      <c r="C37" s="13" t="s">
        <v>91</v>
      </c>
      <c r="D37" s="13" t="s">
        <v>91</v>
      </c>
      <c r="E37" s="13" t="s">
        <v>91</v>
      </c>
      <c r="F37" s="13" t="s">
        <v>91</v>
      </c>
      <c r="G37" s="13" t="s">
        <v>91</v>
      </c>
      <c r="H37" s="13"/>
    </row>
    <row r="38" spans="1:8" ht="21" x14ac:dyDescent="0.25">
      <c r="A38" s="4" t="s">
        <v>29</v>
      </c>
      <c r="B38" s="9" t="s">
        <v>90</v>
      </c>
      <c r="C38" s="9" t="s">
        <v>90</v>
      </c>
      <c r="D38" s="9" t="s">
        <v>90</v>
      </c>
      <c r="E38" s="9" t="s">
        <v>90</v>
      </c>
      <c r="F38" s="9" t="s">
        <v>90</v>
      </c>
      <c r="G38" s="9" t="s">
        <v>90</v>
      </c>
      <c r="H38" s="9" t="s">
        <v>90</v>
      </c>
    </row>
    <row r="39" spans="1:8" ht="19" x14ac:dyDescent="0.25">
      <c r="A39" s="5" t="s">
        <v>30</v>
      </c>
      <c r="B39" s="1" t="s">
        <v>92</v>
      </c>
      <c r="C39" s="1">
        <v>2140877000</v>
      </c>
      <c r="D39" s="1">
        <v>2013547000</v>
      </c>
      <c r="E39" s="1">
        <v>5480557000</v>
      </c>
      <c r="F39" s="1">
        <v>6067438000</v>
      </c>
      <c r="G39" s="1">
        <v>7378000000</v>
      </c>
      <c r="H39" s="1"/>
    </row>
    <row r="40" spans="1:8" ht="19" x14ac:dyDescent="0.25">
      <c r="A40" s="5" t="s">
        <v>31</v>
      </c>
      <c r="B40" s="1" t="s">
        <v>92</v>
      </c>
      <c r="C40" s="1">
        <v>1188431000</v>
      </c>
      <c r="D40" s="1">
        <v>1060726000</v>
      </c>
      <c r="E40" s="1">
        <v>910700000</v>
      </c>
      <c r="F40" s="1">
        <v>2255038000</v>
      </c>
      <c r="G40" s="1">
        <v>2244000000</v>
      </c>
      <c r="H40" s="1"/>
    </row>
    <row r="41" spans="1:8" ht="19" x14ac:dyDescent="0.25">
      <c r="A41" s="5" t="s">
        <v>32</v>
      </c>
      <c r="B41" s="1" t="s">
        <v>92</v>
      </c>
      <c r="C41" s="1">
        <v>3329308000</v>
      </c>
      <c r="D41" s="1">
        <v>3074273000</v>
      </c>
      <c r="E41" s="1">
        <v>6391257000</v>
      </c>
      <c r="F41" s="1">
        <v>8322476000</v>
      </c>
      <c r="G41" s="1">
        <v>9622000000</v>
      </c>
      <c r="H41" s="1"/>
    </row>
    <row r="42" spans="1:8" ht="19" x14ac:dyDescent="0.25">
      <c r="A42" s="5" t="s">
        <v>33</v>
      </c>
      <c r="B42" s="1" t="s">
        <v>92</v>
      </c>
      <c r="C42" s="1">
        <v>2305011000</v>
      </c>
      <c r="D42" s="1">
        <v>3145457000</v>
      </c>
      <c r="E42" s="1">
        <v>2181329000</v>
      </c>
      <c r="F42" s="1">
        <v>3715471000</v>
      </c>
      <c r="G42" s="1">
        <v>4783000000</v>
      </c>
      <c r="H42" s="1"/>
    </row>
    <row r="43" spans="1:8" ht="19" x14ac:dyDescent="0.25">
      <c r="A43" s="5" t="s">
        <v>34</v>
      </c>
      <c r="B43" s="1" t="s">
        <v>92</v>
      </c>
      <c r="C43" s="1" t="s">
        <v>92</v>
      </c>
      <c r="D43" s="1" t="s">
        <v>92</v>
      </c>
      <c r="E43" s="1" t="s">
        <v>92</v>
      </c>
      <c r="F43" s="1" t="s">
        <v>92</v>
      </c>
      <c r="G43" s="1" t="s">
        <v>92</v>
      </c>
      <c r="H43" s="1"/>
    </row>
    <row r="44" spans="1:8" ht="19" x14ac:dyDescent="0.25">
      <c r="A44" s="5" t="s">
        <v>35</v>
      </c>
      <c r="B44" s="1" t="s">
        <v>92</v>
      </c>
      <c r="C44" s="1">
        <v>240213000</v>
      </c>
      <c r="D44" s="1">
        <v>341713000</v>
      </c>
      <c r="E44" s="1">
        <v>343800000</v>
      </c>
      <c r="F44" s="1">
        <v>348433000</v>
      </c>
      <c r="G44" s="1">
        <v>456000000</v>
      </c>
      <c r="H44" s="1"/>
    </row>
    <row r="45" spans="1:8" ht="19" x14ac:dyDescent="0.25">
      <c r="A45" s="6" t="s">
        <v>36</v>
      </c>
      <c r="B45" s="10" t="s">
        <v>92</v>
      </c>
      <c r="C45" s="10">
        <v>5874532000</v>
      </c>
      <c r="D45" s="10">
        <v>6561443000</v>
      </c>
      <c r="E45" s="10">
        <v>8916386000</v>
      </c>
      <c r="F45" s="10">
        <v>12386380000</v>
      </c>
      <c r="G45" s="10">
        <v>14861000000</v>
      </c>
      <c r="H45" s="10"/>
    </row>
    <row r="46" spans="1:8" ht="19" x14ac:dyDescent="0.25">
      <c r="A46" s="5" t="s">
        <v>37</v>
      </c>
      <c r="B46" s="1" t="s">
        <v>92</v>
      </c>
      <c r="C46" s="1">
        <v>309408000</v>
      </c>
      <c r="D46" s="1">
        <v>686867000</v>
      </c>
      <c r="E46" s="1">
        <v>654262000</v>
      </c>
      <c r="F46" s="1">
        <v>428621000</v>
      </c>
      <c r="G46" s="1">
        <v>259000000</v>
      </c>
      <c r="H46" s="1"/>
    </row>
    <row r="47" spans="1:8" ht="19" x14ac:dyDescent="0.25">
      <c r="A47" s="5" t="s">
        <v>38</v>
      </c>
      <c r="B47" s="1" t="s">
        <v>92</v>
      </c>
      <c r="C47" s="1">
        <v>289861000</v>
      </c>
      <c r="D47" s="1">
        <v>652088000</v>
      </c>
      <c r="E47" s="1">
        <v>655801000</v>
      </c>
      <c r="F47" s="1">
        <v>652602000</v>
      </c>
      <c r="G47" s="1">
        <v>650000000</v>
      </c>
      <c r="H47" s="1"/>
    </row>
    <row r="48" spans="1:8" ht="19" x14ac:dyDescent="0.25">
      <c r="A48" s="5" t="s">
        <v>39</v>
      </c>
      <c r="B48" s="1" t="s">
        <v>92</v>
      </c>
      <c r="C48" s="1">
        <v>28756000</v>
      </c>
      <c r="D48" s="1">
        <v>102912000</v>
      </c>
      <c r="E48" s="1">
        <v>75886000</v>
      </c>
      <c r="F48" s="1">
        <v>52308000</v>
      </c>
      <c r="G48" s="1">
        <v>34000000</v>
      </c>
      <c r="H48" s="1"/>
    </row>
    <row r="49" spans="1:8" ht="19" x14ac:dyDescent="0.25">
      <c r="A49" s="5" t="s">
        <v>40</v>
      </c>
      <c r="B49" s="1" t="s">
        <v>92</v>
      </c>
      <c r="C49" s="1">
        <v>318617000</v>
      </c>
      <c r="D49" s="1">
        <v>755000000</v>
      </c>
      <c r="E49" s="1">
        <v>731687000</v>
      </c>
      <c r="F49" s="1">
        <v>704910000</v>
      </c>
      <c r="G49" s="1">
        <v>684000000</v>
      </c>
      <c r="H49" s="1"/>
    </row>
    <row r="50" spans="1:8" ht="19" x14ac:dyDescent="0.25">
      <c r="A50" s="5" t="s">
        <v>41</v>
      </c>
      <c r="B50" s="1" t="s">
        <v>92</v>
      </c>
      <c r="C50" s="1" t="s">
        <v>92</v>
      </c>
      <c r="D50" s="1" t="s">
        <v>92</v>
      </c>
      <c r="E50" s="1" t="s">
        <v>92</v>
      </c>
      <c r="F50" s="1" t="s">
        <v>92</v>
      </c>
      <c r="G50" s="1" t="s">
        <v>92</v>
      </c>
      <c r="H50" s="1"/>
    </row>
    <row r="51" spans="1:8" ht="19" x14ac:dyDescent="0.25">
      <c r="A51" s="5" t="s">
        <v>42</v>
      </c>
      <c r="B51" s="1" t="s">
        <v>92</v>
      </c>
      <c r="C51" s="1" t="s">
        <v>92</v>
      </c>
      <c r="D51" s="1" t="s">
        <v>92</v>
      </c>
      <c r="E51" s="1" t="s">
        <v>92</v>
      </c>
      <c r="F51" s="1" t="s">
        <v>92</v>
      </c>
      <c r="G51" s="1" t="s">
        <v>92</v>
      </c>
      <c r="H51" s="1"/>
    </row>
    <row r="52" spans="1:8" ht="19" x14ac:dyDescent="0.25">
      <c r="A52" s="5" t="s">
        <v>43</v>
      </c>
      <c r="B52" s="1" t="s">
        <v>92</v>
      </c>
      <c r="C52" s="1">
        <v>110532000</v>
      </c>
      <c r="D52" s="1">
        <v>306809000</v>
      </c>
      <c r="E52" s="1">
        <v>189164000</v>
      </c>
      <c r="F52" s="1">
        <v>188563000</v>
      </c>
      <c r="G52" s="1">
        <v>234000000</v>
      </c>
      <c r="H52" s="1"/>
    </row>
    <row r="53" spans="1:8" ht="19" x14ac:dyDescent="0.25">
      <c r="A53" s="5" t="s">
        <v>44</v>
      </c>
      <c r="B53" s="1" t="s">
        <v>92</v>
      </c>
      <c r="C53" s="1">
        <v>738557000</v>
      </c>
      <c r="D53" s="1">
        <v>1748676000</v>
      </c>
      <c r="E53" s="1">
        <v>1575113000</v>
      </c>
      <c r="F53" s="1">
        <v>1322094000</v>
      </c>
      <c r="G53" s="1">
        <v>1177000000</v>
      </c>
      <c r="H53" s="1"/>
    </row>
    <row r="54" spans="1:8" ht="19" x14ac:dyDescent="0.25">
      <c r="A54" s="5" t="s">
        <v>45</v>
      </c>
      <c r="B54" s="1" t="s">
        <v>92</v>
      </c>
      <c r="C54" s="1" t="s">
        <v>92</v>
      </c>
      <c r="D54" s="1" t="s">
        <v>92</v>
      </c>
      <c r="E54" s="1" t="s">
        <v>92</v>
      </c>
      <c r="F54" s="1" t="s">
        <v>92</v>
      </c>
      <c r="G54" s="1" t="s">
        <v>92</v>
      </c>
      <c r="H54" s="1"/>
    </row>
    <row r="55" spans="1:8" ht="20" thickBot="1" x14ac:dyDescent="0.3">
      <c r="A55" s="7" t="s">
        <v>46</v>
      </c>
      <c r="B55" s="11" t="s">
        <v>92</v>
      </c>
      <c r="C55" s="11">
        <v>6613089000</v>
      </c>
      <c r="D55" s="11">
        <v>8310119000</v>
      </c>
      <c r="E55" s="11">
        <v>10491499000</v>
      </c>
      <c r="F55" s="11">
        <v>13708474000</v>
      </c>
      <c r="G55" s="11">
        <v>16038000000</v>
      </c>
      <c r="H55" s="11"/>
    </row>
    <row r="56" spans="1:8" ht="20" thickTop="1" x14ac:dyDescent="0.25">
      <c r="A56" s="5" t="s">
        <v>47</v>
      </c>
      <c r="B56" s="1" t="s">
        <v>92</v>
      </c>
      <c r="C56" s="1">
        <v>70630000</v>
      </c>
      <c r="D56" s="1">
        <v>151417000</v>
      </c>
      <c r="E56" s="1">
        <v>79898000</v>
      </c>
      <c r="F56" s="1">
        <v>118361000</v>
      </c>
      <c r="G56" s="1">
        <v>137000000</v>
      </c>
      <c r="H56" s="1"/>
    </row>
    <row r="57" spans="1:8" ht="19" x14ac:dyDescent="0.25">
      <c r="A57" s="5" t="s">
        <v>48</v>
      </c>
      <c r="B57" s="1" t="s">
        <v>92</v>
      </c>
      <c r="C57" s="1" t="s">
        <v>92</v>
      </c>
      <c r="D57" s="1">
        <v>38022000</v>
      </c>
      <c r="E57" s="1">
        <v>83341000</v>
      </c>
      <c r="F57" s="1">
        <v>63479000</v>
      </c>
      <c r="G57" s="1">
        <v>59000000</v>
      </c>
      <c r="H57" s="1"/>
    </row>
    <row r="58" spans="1:8" ht="19" x14ac:dyDescent="0.25">
      <c r="A58" s="5" t="s">
        <v>49</v>
      </c>
      <c r="B58" s="1" t="s">
        <v>92</v>
      </c>
      <c r="C58" s="1">
        <v>159901000</v>
      </c>
      <c r="D58" s="1">
        <v>207462000</v>
      </c>
      <c r="E58" s="1">
        <v>165257000</v>
      </c>
      <c r="F58" s="1">
        <v>334728000</v>
      </c>
      <c r="G58" s="1" t="s">
        <v>92</v>
      </c>
      <c r="H58" s="1"/>
    </row>
    <row r="59" spans="1:8" ht="19" x14ac:dyDescent="0.25">
      <c r="A59" s="5" t="s">
        <v>50</v>
      </c>
      <c r="B59" s="1" t="s">
        <v>92</v>
      </c>
      <c r="C59" s="1" t="s">
        <v>92</v>
      </c>
      <c r="D59" s="1" t="s">
        <v>92</v>
      </c>
      <c r="E59" s="1" t="s">
        <v>92</v>
      </c>
      <c r="F59" s="1" t="s">
        <v>92</v>
      </c>
      <c r="G59" s="1">
        <v>1182000000</v>
      </c>
      <c r="H59" s="1"/>
    </row>
    <row r="60" spans="1:8" ht="19" x14ac:dyDescent="0.25">
      <c r="A60" s="5" t="s">
        <v>51</v>
      </c>
      <c r="B60" s="1" t="s">
        <v>92</v>
      </c>
      <c r="C60" s="1">
        <v>3505479000</v>
      </c>
      <c r="D60" s="1">
        <v>4836863000</v>
      </c>
      <c r="E60" s="1">
        <v>4811283000</v>
      </c>
      <c r="F60" s="1">
        <v>5842714000</v>
      </c>
      <c r="G60" s="1">
        <v>6600000000</v>
      </c>
      <c r="H60" s="1"/>
    </row>
    <row r="61" spans="1:8" ht="19" x14ac:dyDescent="0.25">
      <c r="A61" s="6" t="s">
        <v>52</v>
      </c>
      <c r="B61" s="10" t="s">
        <v>92</v>
      </c>
      <c r="C61" s="10">
        <v>3736010000</v>
      </c>
      <c r="D61" s="10">
        <v>5233764000</v>
      </c>
      <c r="E61" s="10">
        <v>5139779000</v>
      </c>
      <c r="F61" s="10">
        <v>6359282000</v>
      </c>
      <c r="G61" s="10">
        <v>7978000000</v>
      </c>
      <c r="H61" s="10"/>
    </row>
    <row r="62" spans="1:8" ht="19" x14ac:dyDescent="0.25">
      <c r="A62" s="5" t="s">
        <v>53</v>
      </c>
      <c r="B62" s="1" t="s">
        <v>92</v>
      </c>
      <c r="C62" s="1" t="s">
        <v>92</v>
      </c>
      <c r="D62" s="1">
        <v>381374000</v>
      </c>
      <c r="E62" s="1">
        <v>2246467000</v>
      </c>
      <c r="F62" s="1">
        <v>2355020000</v>
      </c>
      <c r="G62" s="1">
        <v>2282000000</v>
      </c>
      <c r="H62" s="1"/>
    </row>
    <row r="63" spans="1:8" ht="19" x14ac:dyDescent="0.25">
      <c r="A63" s="5" t="s">
        <v>50</v>
      </c>
      <c r="B63" s="1" t="s">
        <v>92</v>
      </c>
      <c r="C63" s="1" t="s">
        <v>92</v>
      </c>
      <c r="D63" s="1" t="s">
        <v>92</v>
      </c>
      <c r="E63" s="1" t="s">
        <v>92</v>
      </c>
      <c r="F63" s="1" t="s">
        <v>92</v>
      </c>
      <c r="G63" s="1" t="s">
        <v>92</v>
      </c>
      <c r="H63" s="1"/>
    </row>
    <row r="64" spans="1:8" ht="19" x14ac:dyDescent="0.25">
      <c r="A64" s="5" t="s">
        <v>54</v>
      </c>
      <c r="B64" s="1" t="s">
        <v>92</v>
      </c>
      <c r="C64" s="1" t="s">
        <v>92</v>
      </c>
      <c r="D64" s="1" t="s">
        <v>92</v>
      </c>
      <c r="E64" s="1" t="s">
        <v>92</v>
      </c>
      <c r="F64" s="1" t="s">
        <v>92</v>
      </c>
      <c r="G64" s="1" t="s">
        <v>92</v>
      </c>
      <c r="H64" s="1"/>
    </row>
    <row r="65" spans="1:14" ht="19" x14ac:dyDescent="0.25">
      <c r="A65" s="5" t="s">
        <v>55</v>
      </c>
      <c r="B65" s="1" t="s">
        <v>92</v>
      </c>
      <c r="C65" s="1">
        <v>3394387000</v>
      </c>
      <c r="D65" s="1">
        <v>3502666000</v>
      </c>
      <c r="E65" s="1">
        <v>203470000</v>
      </c>
      <c r="F65" s="1">
        <v>218459000</v>
      </c>
      <c r="G65" s="1">
        <v>218000000</v>
      </c>
      <c r="H65" s="1"/>
    </row>
    <row r="66" spans="1:14" ht="19" x14ac:dyDescent="0.25">
      <c r="A66" s="5" t="s">
        <v>56</v>
      </c>
      <c r="B66" s="1" t="s">
        <v>92</v>
      </c>
      <c r="C66" s="1">
        <v>3394387000</v>
      </c>
      <c r="D66" s="1">
        <v>3884040000</v>
      </c>
      <c r="E66" s="1">
        <v>2449937000</v>
      </c>
      <c r="F66" s="1">
        <v>2573479000</v>
      </c>
      <c r="G66" s="1">
        <v>2500000000</v>
      </c>
      <c r="H66" s="1"/>
    </row>
    <row r="67" spans="1:14" ht="19" x14ac:dyDescent="0.25">
      <c r="A67" s="5" t="s">
        <v>57</v>
      </c>
      <c r="B67" s="1" t="s">
        <v>92</v>
      </c>
      <c r="C67" s="1" t="s">
        <v>92</v>
      </c>
      <c r="D67" s="1" t="s">
        <v>92</v>
      </c>
      <c r="E67" s="1" t="s">
        <v>92</v>
      </c>
      <c r="F67" s="1" t="s">
        <v>92</v>
      </c>
      <c r="G67" s="1" t="s">
        <v>92</v>
      </c>
      <c r="H67" s="1"/>
    </row>
    <row r="68" spans="1:14" ht="19" x14ac:dyDescent="0.25">
      <c r="A68" s="6" t="s">
        <v>58</v>
      </c>
      <c r="B68" s="10" t="s">
        <v>92</v>
      </c>
      <c r="C68" s="10">
        <v>7130397000</v>
      </c>
      <c r="D68" s="10">
        <v>9117804000</v>
      </c>
      <c r="E68" s="10">
        <v>7589716000</v>
      </c>
      <c r="F68" s="10">
        <v>8932761000</v>
      </c>
      <c r="G68" s="10">
        <v>10478000000</v>
      </c>
      <c r="H68" s="10"/>
    </row>
    <row r="69" spans="1:14" ht="19" x14ac:dyDescent="0.25">
      <c r="A69" s="5" t="s">
        <v>59</v>
      </c>
      <c r="B69" s="1" t="s">
        <v>92</v>
      </c>
      <c r="C69" s="1">
        <v>26000</v>
      </c>
      <c r="D69" s="1">
        <v>26000</v>
      </c>
      <c r="E69" s="1">
        <v>60000</v>
      </c>
      <c r="F69" s="1">
        <v>63000</v>
      </c>
      <c r="G69" s="1" t="s">
        <v>92</v>
      </c>
      <c r="H69" s="1"/>
    </row>
    <row r="70" spans="1:14" ht="19" x14ac:dyDescent="0.25">
      <c r="A70" s="5" t="s">
        <v>60</v>
      </c>
      <c r="B70" s="1" t="s">
        <v>92</v>
      </c>
      <c r="C70" s="1">
        <v>-768888000</v>
      </c>
      <c r="D70" s="1">
        <v>-1420991000</v>
      </c>
      <c r="E70" s="1">
        <v>-6005707000</v>
      </c>
      <c r="F70" s="1">
        <v>-6357741000</v>
      </c>
      <c r="G70" s="1">
        <v>-5965000000</v>
      </c>
      <c r="H70" s="1"/>
    </row>
    <row r="71" spans="1:14" ht="19" x14ac:dyDescent="0.25">
      <c r="A71" s="5" t="s">
        <v>61</v>
      </c>
      <c r="B71" s="1" t="s">
        <v>92</v>
      </c>
      <c r="C71" s="1">
        <v>-7912000</v>
      </c>
      <c r="D71" s="1">
        <v>-4410000</v>
      </c>
      <c r="E71" s="1">
        <v>2639000</v>
      </c>
      <c r="F71" s="1">
        <v>-6893000</v>
      </c>
      <c r="G71" s="1">
        <v>-32000000</v>
      </c>
      <c r="H71" s="1"/>
    </row>
    <row r="72" spans="1:14" ht="19" x14ac:dyDescent="0.25">
      <c r="A72" s="5" t="s">
        <v>62</v>
      </c>
      <c r="B72" s="1" t="s">
        <v>92</v>
      </c>
      <c r="C72" s="1">
        <v>259466000</v>
      </c>
      <c r="D72" s="1">
        <v>617690000</v>
      </c>
      <c r="E72" s="1">
        <v>8904791000</v>
      </c>
      <c r="F72" s="1">
        <v>11140284000</v>
      </c>
      <c r="G72" s="1">
        <v>11557000000</v>
      </c>
      <c r="H72" s="1"/>
    </row>
    <row r="73" spans="1:14" ht="19" x14ac:dyDescent="0.25">
      <c r="A73" s="6" t="s">
        <v>63</v>
      </c>
      <c r="B73" s="10" t="s">
        <v>92</v>
      </c>
      <c r="C73" s="10">
        <v>-517308000</v>
      </c>
      <c r="D73" s="10">
        <v>-807685000</v>
      </c>
      <c r="E73" s="10">
        <v>2901783000</v>
      </c>
      <c r="F73" s="10">
        <v>4775713000</v>
      </c>
      <c r="G73" s="10">
        <v>5560000000</v>
      </c>
      <c r="H73" s="10"/>
      <c r="N73" s="39"/>
    </row>
    <row r="74" spans="1:14" ht="20" thickBot="1" x14ac:dyDescent="0.3">
      <c r="A74" s="7" t="s">
        <v>64</v>
      </c>
      <c r="B74" s="11" t="s">
        <v>92</v>
      </c>
      <c r="C74" s="11">
        <v>6613089000</v>
      </c>
      <c r="D74" s="11">
        <v>8310119000</v>
      </c>
      <c r="E74" s="11">
        <v>10491499000</v>
      </c>
      <c r="F74" s="11">
        <v>13708474000</v>
      </c>
      <c r="G74" s="11">
        <v>16038000000</v>
      </c>
      <c r="H74" s="11"/>
    </row>
    <row r="75" spans="1:14" ht="20" thickTop="1" x14ac:dyDescent="0.25">
      <c r="A75" s="5" t="s">
        <v>28</v>
      </c>
      <c r="B75" s="13" t="s">
        <v>91</v>
      </c>
      <c r="C75" s="13" t="s">
        <v>91</v>
      </c>
      <c r="D75" s="13" t="s">
        <v>91</v>
      </c>
      <c r="E75" s="13" t="s">
        <v>91</v>
      </c>
      <c r="F75" s="13" t="s">
        <v>91</v>
      </c>
      <c r="G75" s="13" t="s">
        <v>91</v>
      </c>
      <c r="H75" s="13"/>
    </row>
    <row r="76" spans="1:14" ht="21" x14ac:dyDescent="0.25">
      <c r="A76" s="4" t="s">
        <v>65</v>
      </c>
      <c r="B76" s="9" t="s">
        <v>90</v>
      </c>
      <c r="C76" s="9" t="s">
        <v>90</v>
      </c>
      <c r="D76" s="9" t="s">
        <v>90</v>
      </c>
      <c r="E76" s="9" t="s">
        <v>90</v>
      </c>
      <c r="F76" s="9" t="s">
        <v>90</v>
      </c>
      <c r="G76" s="9" t="s">
        <v>90</v>
      </c>
      <c r="H76" s="9" t="s">
        <v>90</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104</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92</v>
      </c>
      <c r="C83" s="1" t="s">
        <v>92</v>
      </c>
      <c r="D83" s="1" t="s">
        <v>92</v>
      </c>
      <c r="E83" s="1" t="s">
        <v>92</v>
      </c>
      <c r="F83" s="1" t="s">
        <v>92</v>
      </c>
      <c r="G83" s="1" t="s">
        <v>92</v>
      </c>
      <c r="H83" s="1"/>
      <c r="O83" s="78" t="s">
        <v>152</v>
      </c>
      <c r="P83" s="79"/>
    </row>
    <row r="84" spans="1:18" ht="19" x14ac:dyDescent="0.25">
      <c r="A84" s="5" t="s">
        <v>34</v>
      </c>
      <c r="B84" s="1" t="s">
        <v>92</v>
      </c>
      <c r="C84" s="1" t="s">
        <v>92</v>
      </c>
      <c r="D84" s="1" t="s">
        <v>92</v>
      </c>
      <c r="E84" s="1" t="s">
        <v>92</v>
      </c>
      <c r="F84" s="1" t="s">
        <v>92</v>
      </c>
      <c r="G84" s="1" t="s">
        <v>92</v>
      </c>
      <c r="H84" s="1"/>
      <c r="O84" s="80" t="s">
        <v>121</v>
      </c>
      <c r="P84" s="81"/>
    </row>
    <row r="85" spans="1:18" ht="20" x14ac:dyDescent="0.25">
      <c r="A85" s="5" t="s">
        <v>47</v>
      </c>
      <c r="B85" s="1">
        <v>11758000</v>
      </c>
      <c r="C85" s="1">
        <v>29837000</v>
      </c>
      <c r="D85" s="1">
        <v>75716000</v>
      </c>
      <c r="E85" s="1">
        <v>-73111000</v>
      </c>
      <c r="F85" s="1">
        <v>39946000</v>
      </c>
      <c r="G85" s="1">
        <v>20000000</v>
      </c>
      <c r="H85" s="1"/>
      <c r="O85" s="49" t="s">
        <v>101</v>
      </c>
      <c r="P85" s="50">
        <f>G18</f>
        <v>24000000</v>
      </c>
    </row>
    <row r="86" spans="1:18" ht="20" x14ac:dyDescent="0.25">
      <c r="A86" s="5" t="s">
        <v>71</v>
      </c>
      <c r="B86" s="1">
        <v>135394000</v>
      </c>
      <c r="C86" s="1">
        <v>145895000</v>
      </c>
      <c r="D86" s="1">
        <v>176254000</v>
      </c>
      <c r="E86" s="1">
        <v>-267009000</v>
      </c>
      <c r="F86" s="1">
        <v>495816000</v>
      </c>
      <c r="G86" s="1">
        <v>280000000</v>
      </c>
      <c r="H86" s="1"/>
      <c r="O86" s="49" t="s">
        <v>122</v>
      </c>
      <c r="P86" s="50">
        <f>G57</f>
        <v>59000000</v>
      </c>
    </row>
    <row r="87" spans="1:18" ht="20" x14ac:dyDescent="0.25">
      <c r="A87" s="5" t="s">
        <v>72</v>
      </c>
      <c r="B87" s="1">
        <v>24550000</v>
      </c>
      <c r="C87" s="1">
        <v>60111000</v>
      </c>
      <c r="D87" s="1">
        <v>70602000</v>
      </c>
      <c r="E87" s="1">
        <v>1131371000</v>
      </c>
      <c r="F87" s="1">
        <v>855721000</v>
      </c>
      <c r="G87" s="1">
        <v>208000000</v>
      </c>
      <c r="H87" s="1"/>
      <c r="O87" s="49" t="s">
        <v>123</v>
      </c>
      <c r="P87" s="50">
        <f>G62</f>
        <v>2282000000</v>
      </c>
    </row>
    <row r="88" spans="1:18" ht="20" x14ac:dyDescent="0.25">
      <c r="A88" s="6" t="s">
        <v>73</v>
      </c>
      <c r="B88" s="10">
        <v>251225000</v>
      </c>
      <c r="C88" s="10">
        <v>595557000</v>
      </c>
      <c r="D88" s="10">
        <v>222727000</v>
      </c>
      <c r="E88" s="10">
        <v>-629732000</v>
      </c>
      <c r="F88" s="10">
        <v>2189694000</v>
      </c>
      <c r="G88" s="10">
        <v>3430000000</v>
      </c>
      <c r="H88" s="10"/>
      <c r="O88" s="51" t="s">
        <v>124</v>
      </c>
      <c r="P88" s="52">
        <f>P85/(P86+P87)</f>
        <v>1.0252029047415635E-2</v>
      </c>
    </row>
    <row r="89" spans="1:18" ht="20" x14ac:dyDescent="0.25">
      <c r="A89" s="5" t="s">
        <v>74</v>
      </c>
      <c r="B89" s="1">
        <v>-100204000</v>
      </c>
      <c r="C89" s="1">
        <v>-90624000</v>
      </c>
      <c r="D89" s="1">
        <v>-125452000</v>
      </c>
      <c r="E89" s="1">
        <v>-37371000</v>
      </c>
      <c r="F89" s="1">
        <v>-25322000</v>
      </c>
      <c r="G89" s="1">
        <v>-25000000</v>
      </c>
      <c r="H89" s="1"/>
      <c r="O89" s="49" t="s">
        <v>125</v>
      </c>
      <c r="P89" s="50">
        <f>G28</f>
        <v>96000000</v>
      </c>
    </row>
    <row r="90" spans="1:18" ht="20" x14ac:dyDescent="0.25">
      <c r="A90" s="17" t="s">
        <v>105</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49" t="s">
        <v>19</v>
      </c>
      <c r="P90" s="50">
        <f>G26</f>
        <v>1989000000</v>
      </c>
      <c r="Q90" s="18"/>
      <c r="R90" s="18"/>
    </row>
    <row r="91" spans="1:18" ht="20" x14ac:dyDescent="0.25">
      <c r="A91" s="5" t="s">
        <v>75</v>
      </c>
      <c r="B91" s="1">
        <v>-176649000</v>
      </c>
      <c r="C91" s="1">
        <v>-60150000</v>
      </c>
      <c r="D91" s="1">
        <v>-400298000</v>
      </c>
      <c r="E91" s="1" t="s">
        <v>92</v>
      </c>
      <c r="F91" s="1" t="s">
        <v>92</v>
      </c>
      <c r="G91" s="1" t="s">
        <v>92</v>
      </c>
      <c r="H91" s="1"/>
      <c r="O91" s="51" t="s">
        <v>126</v>
      </c>
      <c r="P91" s="52">
        <f>P89/P90</f>
        <v>4.8265460030165915E-2</v>
      </c>
    </row>
    <row r="92" spans="1:18" ht="20" x14ac:dyDescent="0.25">
      <c r="A92" s="5" t="s">
        <v>76</v>
      </c>
      <c r="B92" s="1">
        <v>-1040246000</v>
      </c>
      <c r="C92" s="1">
        <v>-1270578000</v>
      </c>
      <c r="D92" s="1">
        <v>-1016155000</v>
      </c>
      <c r="E92" s="1">
        <v>-3032664000</v>
      </c>
      <c r="F92" s="1">
        <v>-4938188000</v>
      </c>
      <c r="G92" s="1">
        <v>-4072000000</v>
      </c>
      <c r="H92" s="1"/>
      <c r="O92" s="53" t="s">
        <v>127</v>
      </c>
      <c r="P92" s="54">
        <f>P88*(1-P91)</f>
        <v>9.7572101491994953E-3</v>
      </c>
    </row>
    <row r="93" spans="1:18" ht="19" x14ac:dyDescent="0.25">
      <c r="A93" s="5" t="s">
        <v>77</v>
      </c>
      <c r="B93" s="1">
        <v>528155000</v>
      </c>
      <c r="C93" s="1">
        <v>756471000</v>
      </c>
      <c r="D93" s="1">
        <v>1161085000</v>
      </c>
      <c r="E93" s="1">
        <v>3158225000</v>
      </c>
      <c r="F93" s="1">
        <v>3611055000</v>
      </c>
      <c r="G93" s="1">
        <v>4071000000</v>
      </c>
      <c r="H93" s="1"/>
      <c r="O93" s="82" t="s">
        <v>128</v>
      </c>
      <c r="P93" s="83"/>
    </row>
    <row r="94" spans="1:18" ht="20" x14ac:dyDescent="0.25">
      <c r="A94" s="5" t="s">
        <v>78</v>
      </c>
      <c r="B94" s="1" t="s">
        <v>92</v>
      </c>
      <c r="C94" s="1">
        <v>-3290000</v>
      </c>
      <c r="D94" s="1">
        <v>33665000</v>
      </c>
      <c r="E94" s="1">
        <v>-8600000</v>
      </c>
      <c r="F94" s="1">
        <v>500000</v>
      </c>
      <c r="G94" s="1">
        <v>-2000000</v>
      </c>
      <c r="H94" s="1"/>
      <c r="O94" s="49" t="s">
        <v>103</v>
      </c>
      <c r="P94" s="55">
        <f>[1]Treasuries!$C$8</f>
        <v>3.739E-2</v>
      </c>
    </row>
    <row r="95" spans="1:18" ht="20" x14ac:dyDescent="0.25">
      <c r="A95" s="6" t="s">
        <v>79</v>
      </c>
      <c r="B95" s="10">
        <v>-788944000</v>
      </c>
      <c r="C95" s="10">
        <v>-668171000</v>
      </c>
      <c r="D95" s="10">
        <v>-347155000</v>
      </c>
      <c r="E95" s="10">
        <v>79590000</v>
      </c>
      <c r="F95" s="10">
        <v>-1351955000</v>
      </c>
      <c r="G95" s="10">
        <v>-28000000</v>
      </c>
      <c r="H95" s="10"/>
      <c r="O95" s="49" t="s">
        <v>129</v>
      </c>
      <c r="P95" s="56" cm="1">
        <f t="array" ref="P95">_FV(A1,"Beta")</f>
        <v>1.6120000000000001</v>
      </c>
    </row>
    <row r="96" spans="1:18" ht="20" x14ac:dyDescent="0.25">
      <c r="A96" s="5" t="s">
        <v>80</v>
      </c>
      <c r="B96" s="1" t="s">
        <v>92</v>
      </c>
      <c r="C96" s="1" t="s">
        <v>92</v>
      </c>
      <c r="D96" s="1" t="s">
        <v>92</v>
      </c>
      <c r="E96" s="1">
        <v>-5000000</v>
      </c>
      <c r="F96" s="1">
        <v>-2207883000</v>
      </c>
      <c r="G96" s="1" t="s">
        <v>92</v>
      </c>
      <c r="H96" s="1"/>
      <c r="O96" s="49" t="s">
        <v>130</v>
      </c>
      <c r="P96" s="55">
        <v>8.4000000000000005E-2</v>
      </c>
    </row>
    <row r="97" spans="1:18" ht="20" x14ac:dyDescent="0.25">
      <c r="A97" s="5" t="s">
        <v>81</v>
      </c>
      <c r="B97" s="1" t="s">
        <v>92</v>
      </c>
      <c r="C97" s="1" t="s">
        <v>92</v>
      </c>
      <c r="D97" s="1" t="s">
        <v>92</v>
      </c>
      <c r="E97" s="1">
        <v>3650870000</v>
      </c>
      <c r="F97" s="1" t="s">
        <v>92</v>
      </c>
      <c r="G97" s="1" t="s">
        <v>92</v>
      </c>
      <c r="H97" s="1"/>
      <c r="O97" s="53" t="s">
        <v>131</v>
      </c>
      <c r="P97" s="54">
        <f>(P94)+((P95)*(P96-P94))</f>
        <v>0.11252532000000001</v>
      </c>
    </row>
    <row r="98" spans="1:18" ht="19" x14ac:dyDescent="0.25">
      <c r="A98" s="5" t="s">
        <v>82</v>
      </c>
      <c r="B98" s="1" t="s">
        <v>92</v>
      </c>
      <c r="C98" s="1" t="s">
        <v>92</v>
      </c>
      <c r="D98" s="1" t="s">
        <v>92</v>
      </c>
      <c r="E98" s="1" t="s">
        <v>92</v>
      </c>
      <c r="F98" s="1" t="s">
        <v>92</v>
      </c>
      <c r="G98" s="1">
        <v>-1500000000</v>
      </c>
      <c r="H98" s="1"/>
      <c r="O98" s="82" t="s">
        <v>132</v>
      </c>
      <c r="P98" s="83"/>
    </row>
    <row r="99" spans="1:18" ht="20" x14ac:dyDescent="0.25">
      <c r="A99" s="5" t="s">
        <v>83</v>
      </c>
      <c r="B99" s="24">
        <v>0</v>
      </c>
      <c r="C99" s="24">
        <v>0</v>
      </c>
      <c r="D99" s="24">
        <v>0</v>
      </c>
      <c r="E99" s="24">
        <v>0</v>
      </c>
      <c r="F99" s="24">
        <v>0</v>
      </c>
      <c r="G99" s="24">
        <v>0</v>
      </c>
      <c r="H99" s="24"/>
      <c r="O99" s="49" t="s">
        <v>133</v>
      </c>
      <c r="P99" s="50">
        <f>P86+P87</f>
        <v>2341000000</v>
      </c>
    </row>
    <row r="100" spans="1:18" ht="20" x14ac:dyDescent="0.25">
      <c r="A100" s="5" t="s">
        <v>84</v>
      </c>
      <c r="B100" s="1">
        <v>672954000</v>
      </c>
      <c r="C100" s="1">
        <v>140516000</v>
      </c>
      <c r="D100" s="1">
        <v>854579000</v>
      </c>
      <c r="E100" s="1">
        <v>-705056000</v>
      </c>
      <c r="F100" s="1">
        <v>3639042000</v>
      </c>
      <c r="G100" s="1">
        <v>811000000</v>
      </c>
      <c r="H100" s="1"/>
      <c r="O100" s="51" t="s">
        <v>134</v>
      </c>
      <c r="P100" s="52">
        <f>P99/P103</f>
        <v>2.8513937846680031E-2</v>
      </c>
    </row>
    <row r="101" spans="1:18" ht="20" x14ac:dyDescent="0.25">
      <c r="A101" s="6" t="s">
        <v>85</v>
      </c>
      <c r="B101" s="10">
        <v>672954000</v>
      </c>
      <c r="C101" s="10">
        <v>140516000</v>
      </c>
      <c r="D101" s="10">
        <v>854579000</v>
      </c>
      <c r="E101" s="10">
        <v>2940814000</v>
      </c>
      <c r="F101" s="10">
        <v>1431159000</v>
      </c>
      <c r="G101" s="10">
        <v>-689000000</v>
      </c>
      <c r="H101" s="10"/>
      <c r="O101" s="49" t="s">
        <v>135</v>
      </c>
      <c r="P101" s="34" cm="1">
        <f t="array" ref="P101">_FV(A1,"Market cap",TRUE)</f>
        <v>79759200000</v>
      </c>
    </row>
    <row r="102" spans="1:18" ht="20" x14ac:dyDescent="0.25">
      <c r="A102" s="5" t="s">
        <v>86</v>
      </c>
      <c r="B102" s="1">
        <v>227172000</v>
      </c>
      <c r="C102" s="1">
        <v>-158919000</v>
      </c>
      <c r="D102" s="1">
        <v>-25284000</v>
      </c>
      <c r="E102" s="1">
        <v>134137000</v>
      </c>
      <c r="F102" s="1">
        <v>-209861000</v>
      </c>
      <c r="G102" s="1">
        <v>-337000000</v>
      </c>
      <c r="H102" s="1"/>
      <c r="O102" s="51" t="s">
        <v>136</v>
      </c>
      <c r="P102" s="52">
        <f>P101/P103</f>
        <v>0.97148606215332001</v>
      </c>
    </row>
    <row r="103" spans="1:18" ht="20" x14ac:dyDescent="0.25">
      <c r="A103" s="6" t="s">
        <v>87</v>
      </c>
      <c r="B103" s="10">
        <v>362407000</v>
      </c>
      <c r="C103" s="10">
        <v>-91017000</v>
      </c>
      <c r="D103" s="10">
        <v>704867000</v>
      </c>
      <c r="E103" s="10">
        <v>2524809000</v>
      </c>
      <c r="F103" s="10">
        <v>2059037000</v>
      </c>
      <c r="G103" s="10">
        <v>2376000000</v>
      </c>
      <c r="H103" s="10"/>
      <c r="O103" s="53" t="s">
        <v>137</v>
      </c>
      <c r="P103" s="57">
        <f>P99+P101</f>
        <v>82100200000</v>
      </c>
    </row>
    <row r="104" spans="1:18" ht="19" x14ac:dyDescent="0.25">
      <c r="A104" s="5" t="s">
        <v>88</v>
      </c>
      <c r="B104" s="1">
        <v>4167186000</v>
      </c>
      <c r="C104" s="1">
        <v>4529593000</v>
      </c>
      <c r="D104" s="1">
        <v>4438576000</v>
      </c>
      <c r="E104" s="1">
        <v>5143443000</v>
      </c>
      <c r="F104" s="1">
        <v>7668252000</v>
      </c>
      <c r="G104" s="1">
        <v>9727000000</v>
      </c>
      <c r="H104" s="1"/>
      <c r="O104" s="80" t="s">
        <v>138</v>
      </c>
      <c r="P104" s="81"/>
    </row>
    <row r="105" spans="1:18" ht="21" thickBot="1" x14ac:dyDescent="0.3">
      <c r="A105" s="7" t="s">
        <v>89</v>
      </c>
      <c r="B105" s="11">
        <v>4529593000</v>
      </c>
      <c r="C105" s="11">
        <v>4438576000</v>
      </c>
      <c r="D105" s="11">
        <v>5143443000</v>
      </c>
      <c r="E105" s="11">
        <v>7668252000</v>
      </c>
      <c r="F105" s="11">
        <v>9727289000</v>
      </c>
      <c r="G105" s="11">
        <v>12103000000</v>
      </c>
      <c r="H105" s="11"/>
      <c r="O105" s="26" t="s">
        <v>120</v>
      </c>
      <c r="P105" s="27">
        <f>(P100*P92)+(P102*P97)</f>
        <v>0.10959499650309351</v>
      </c>
    </row>
    <row r="106" spans="1:18" ht="20" thickTop="1" x14ac:dyDescent="0.25">
      <c r="A106" s="17" t="s">
        <v>163</v>
      </c>
      <c r="B106" s="1">
        <f t="shared" ref="B106:F106" si="23">(B23*(1-$P$91))+B78+B89+B82</f>
        <v>84904974.358974367</v>
      </c>
      <c r="C106" s="1">
        <f t="shared" si="23"/>
        <v>430645312.21719456</v>
      </c>
      <c r="D106" s="1">
        <f t="shared" si="23"/>
        <v>131756203.61990952</v>
      </c>
      <c r="E106" s="1">
        <f t="shared" si="23"/>
        <v>-3612971903.46908</v>
      </c>
      <c r="F106" s="1">
        <f t="shared" si="23"/>
        <v>1159515817.4962292</v>
      </c>
      <c r="G106" s="1">
        <f>(G23*(1-$P$91))+G78+G89+G82</f>
        <v>2174730015.0829563</v>
      </c>
      <c r="H106" s="15">
        <v>3333000000</v>
      </c>
      <c r="I106" s="38">
        <f>H106*(1+$P$107)</f>
        <v>3787640729.2947545</v>
      </c>
      <c r="J106" s="38">
        <f t="shared" ref="J106:M106" si="24">I106*(1+$P$107)</f>
        <v>4304297117.9755478</v>
      </c>
      <c r="K106" s="38">
        <f t="shared" si="24"/>
        <v>4891428465.3555994</v>
      </c>
      <c r="L106" s="38">
        <f t="shared" si="24"/>
        <v>5558647968.7406549</v>
      </c>
      <c r="M106" s="38">
        <f t="shared" si="24"/>
        <v>6316880121.8762856</v>
      </c>
      <c r="N106" s="30" t="s">
        <v>164</v>
      </c>
      <c r="O106" s="84" t="s">
        <v>142</v>
      </c>
      <c r="P106" s="85"/>
      <c r="Q106" s="18"/>
      <c r="R106" s="18"/>
    </row>
    <row r="107" spans="1:18" ht="19" x14ac:dyDescent="0.25">
      <c r="A107" s="17" t="s">
        <v>161</v>
      </c>
      <c r="B107" s="1"/>
      <c r="C107" s="18">
        <f t="shared" ref="C107:H107" si="25">(C108/B108)-1</f>
        <v>2.3434621675131275</v>
      </c>
      <c r="D107" s="18">
        <f t="shared" si="25"/>
        <v>-0.80735067820879203</v>
      </c>
      <c r="E107" s="18">
        <f t="shared" si="25"/>
        <v>-7.8579079928039066</v>
      </c>
      <c r="F107" s="18">
        <f t="shared" si="25"/>
        <v>-4.2444345176082248</v>
      </c>
      <c r="G107" s="18">
        <f t="shared" si="25"/>
        <v>0.57320460623220049</v>
      </c>
      <c r="H107" s="18">
        <f t="shared" si="25"/>
        <v>-1.5565345080763571E-2</v>
      </c>
      <c r="I107" s="67">
        <v>3902000000</v>
      </c>
      <c r="J107" s="67">
        <v>4668000000</v>
      </c>
      <c r="K107" s="67">
        <v>5525000000</v>
      </c>
      <c r="L107" s="67">
        <v>6378000000</v>
      </c>
      <c r="M107" s="67">
        <v>7573000000</v>
      </c>
      <c r="N107" s="30" t="s">
        <v>165</v>
      </c>
      <c r="O107" s="28" t="s">
        <v>139</v>
      </c>
      <c r="P107" s="41">
        <f>(SUM(I5:M5)/5)</f>
        <v>0.13640585937436386</v>
      </c>
    </row>
    <row r="108" spans="1:18" ht="19" x14ac:dyDescent="0.25">
      <c r="A108" s="74" t="s">
        <v>162</v>
      </c>
      <c r="B108" s="1">
        <v>151021000</v>
      </c>
      <c r="C108" s="1">
        <v>504933000</v>
      </c>
      <c r="D108" s="1">
        <v>97275000</v>
      </c>
      <c r="E108" s="1">
        <v>-667103000</v>
      </c>
      <c r="F108" s="1">
        <v>2164372000</v>
      </c>
      <c r="G108" s="1">
        <v>3405000000</v>
      </c>
      <c r="H108" s="1">
        <v>3352000000</v>
      </c>
      <c r="I108" s="30"/>
      <c r="J108" s="30"/>
      <c r="K108" s="30"/>
      <c r="L108" s="30"/>
      <c r="M108" s="68">
        <f>M107*(1+P108)/(P109-P108)</f>
        <v>91758677473.509232</v>
      </c>
      <c r="N108" s="40" t="s">
        <v>141</v>
      </c>
      <c r="O108" s="35" t="s">
        <v>140</v>
      </c>
      <c r="P108" s="36">
        <v>2.5000000000000001E-2</v>
      </c>
    </row>
    <row r="109" spans="1:18" ht="19" x14ac:dyDescent="0.25">
      <c r="I109" s="68">
        <f t="shared" ref="I109:K109" si="26">I108+I107</f>
        <v>3902000000</v>
      </c>
      <c r="J109" s="68">
        <f t="shared" si="26"/>
        <v>4668000000</v>
      </c>
      <c r="K109" s="68">
        <f t="shared" si="26"/>
        <v>5525000000</v>
      </c>
      <c r="L109" s="68">
        <f>L108+L107</f>
        <v>6378000000</v>
      </c>
      <c r="M109" s="68">
        <f>M108+M107</f>
        <v>99331677473.509232</v>
      </c>
      <c r="N109" s="40" t="s">
        <v>137</v>
      </c>
      <c r="O109" s="29" t="s">
        <v>150</v>
      </c>
      <c r="P109" s="37">
        <f>P105</f>
        <v>0.10959499650309351</v>
      </c>
    </row>
    <row r="110" spans="1:18" ht="19" x14ac:dyDescent="0.25">
      <c r="I110" s="76" t="s">
        <v>151</v>
      </c>
      <c r="J110" s="77"/>
    </row>
    <row r="111" spans="1:18" ht="20" customHeight="1" x14ac:dyDescent="0.25">
      <c r="I111" s="31" t="s">
        <v>143</v>
      </c>
      <c r="J111" s="34">
        <f>NPV(P109,I109,J109,K109,L109,M109)</f>
        <v>74615975213.700043</v>
      </c>
    </row>
    <row r="112" spans="1:18" ht="20" customHeight="1" x14ac:dyDescent="0.25">
      <c r="I112" s="31" t="s">
        <v>149</v>
      </c>
      <c r="J112" s="34">
        <f>G41</f>
        <v>9622000000</v>
      </c>
    </row>
    <row r="113" spans="9:10" ht="20" x14ac:dyDescent="0.25">
      <c r="I113" s="31" t="s">
        <v>133</v>
      </c>
      <c r="J113" s="34">
        <f>P99</f>
        <v>2341000000</v>
      </c>
    </row>
    <row r="114" spans="9:10" ht="20" x14ac:dyDescent="0.25">
      <c r="I114" s="31" t="s">
        <v>144</v>
      </c>
      <c r="J114" s="34">
        <f>J111+J112-J113</f>
        <v>81896975213.700043</v>
      </c>
    </row>
    <row r="115" spans="9:10" ht="20" x14ac:dyDescent="0.25">
      <c r="I115" s="31" t="s">
        <v>166</v>
      </c>
      <c r="J115" s="48">
        <f>G35*(1+(5*0.05))</f>
        <v>769863750</v>
      </c>
    </row>
    <row r="116" spans="9:10" ht="20" x14ac:dyDescent="0.25">
      <c r="I116" s="32" t="s">
        <v>145</v>
      </c>
      <c r="J116" s="59">
        <f>J114/J115</f>
        <v>106.37853154366606</v>
      </c>
    </row>
    <row r="117" spans="9:10" ht="20" x14ac:dyDescent="0.25">
      <c r="I117" s="31" t="s">
        <v>146</v>
      </c>
      <c r="J117" s="58" cm="1">
        <f t="array" ref="J117">_FV(A1,"Price")</f>
        <v>124.73</v>
      </c>
    </row>
    <row r="118" spans="9:10" ht="20" customHeight="1" x14ac:dyDescent="0.25">
      <c r="I118" s="33" t="s">
        <v>147</v>
      </c>
      <c r="J118" s="42">
        <f>J116/J117-1</f>
        <v>-0.14712954747321372</v>
      </c>
    </row>
    <row r="119" spans="9:10" ht="21" customHeight="1" x14ac:dyDescent="0.25">
      <c r="I119" s="33" t="s">
        <v>148</v>
      </c>
      <c r="J119" s="43"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7"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2023-06-26T11:33:44Z</dcterms:modified>
</cp:coreProperties>
</file>