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93D87006-55DA-5449-9462-EF2890F8CE63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" i="1" l="1"/>
  <c r="P22" i="1"/>
  <c r="J114" i="1"/>
  <c r="I108" i="1"/>
  <c r="J108" i="1"/>
  <c r="K108" i="1"/>
  <c r="L108" i="1"/>
  <c r="J105" i="1"/>
  <c r="K105" i="1" s="1"/>
  <c r="L105" i="1" s="1"/>
  <c r="M105" i="1" s="1"/>
  <c r="I105" i="1"/>
  <c r="B105" i="1"/>
  <c r="C105" i="1"/>
  <c r="D105" i="1"/>
  <c r="E105" i="1"/>
  <c r="F105" i="1"/>
  <c r="G105" i="1"/>
  <c r="H105" i="1"/>
  <c r="P94" i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6" i="1"/>
  <c r="H106" i="1"/>
  <c r="Q4" i="1" s="1"/>
  <c r="F106" i="1"/>
  <c r="E106" i="1"/>
  <c r="D106" i="1"/>
  <c r="C106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97" i="1" l="1"/>
  <c r="Q19" i="1"/>
  <c r="P19" i="1"/>
  <c r="P106" i="1"/>
  <c r="Q16" i="1"/>
  <c r="P16" i="1"/>
  <c r="O16" i="1"/>
  <c r="P103" i="1"/>
  <c r="P100" i="1" s="1"/>
  <c r="P102" i="1" l="1"/>
  <c r="P105" i="1" s="1"/>
  <c r="P108" i="1" s="1"/>
  <c r="M107" i="1" s="1"/>
  <c r="M108" i="1" s="1"/>
  <c r="J110" i="1" l="1"/>
  <c r="J113" i="1" s="1"/>
  <c r="J115" i="1" s="1"/>
  <c r="J118" i="1" s="1"/>
  <c r="J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<sst xmlns="http://schemas.openxmlformats.org/spreadsheetml/2006/main" count="332" uniqueCount="167">
  <si>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</si>
  <si>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</si>
  <si>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</si>
  <si>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</si>
  <si>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</si>
  <si>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</si>
  <si>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</si>
  <si>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</si>
  <si>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</si>
  <si>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</si>
  <si>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</si>
  <si>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</si>
  <si>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</si>
  <si>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</si>
  <si>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</si>
  <si>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</si>
  <si>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</si>
  <si>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</si>
  <si>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</si>
  <si>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</si>
  <si>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</si>
  <si>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</si>
  <si>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</si>
  <si>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</si>
  <si>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</si>
  <si>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</si>
  <si>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</si>
  <si>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</si>
  <si>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</si>
  <si>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</si>
  <si>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</si>
  <si>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</si>
  <si>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</si>
  <si>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</si>
  <si>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</si>
  <si>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</si>
  <si>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</si>
  <si>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</si>
  <si>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</si>
  <si>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</si>
  <si>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</si>
  <si>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</si>
  <si>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</si>
  <si>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</si>
  <si>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</si>
  <si>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</si>
  <si>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</si>
  <si>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</si>
  <si>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</si>
  <si>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</si>
  <si>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</si>
  <si>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</si>
  <si>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</si>
  <si>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</si>
  <si>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</si>
  <si>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</si>
  <si>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</si>
  <si>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</si>
  <si>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</si>
  <si>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</si>
  <si>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</si>
  <si>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</si>
  <si>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</si>
  <si>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</si>
  <si>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</si>
  <si>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</si>
  <si>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</si>
  <si>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</si>
  <si>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</si>
  <si>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</si>
  <si>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</si>
  <si>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</si>
  <si>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</si>
  <si>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</si>
  <si>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</si>
  <si>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</si>
  <si>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</si>
  <si>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</si>
  <si>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</si>
  <si>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</si>
  <si>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</si>
  <si>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</si>
  <si>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</si>
  <si>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</si>
  <si>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</si>
  <si>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</si>
  <si>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</si>
  <si>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</si>
  <si>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</si>
  <si>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</si>
  <si>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</si>
  <si>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</si>
  <si>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</si>
  <si>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</si>
  <si>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</si>
  <si>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</si>
  <si>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</si>
  <si>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</si>
  <si>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</si>
  <si>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</si>
  <si>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</si>
  <si>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</si>
  <si>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</si>
  <si>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</si>
  <si>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</si>
  <si>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</si>
  <si>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</si>
  <si>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</si>
  <si>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</si>
  <si>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</si>
  <si>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</si>
  <si>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</si>
  <si>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</si>
  <si>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</si>
  <si>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</si>
  <si>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</si>
  <si>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</si>
  <si>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</si>
  <si>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</si>
  <si>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</si>
  <si>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</si>
  <si>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</si>
  <si>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</si>
  <si>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</si>
  <si>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</si>
  <si>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</si>
  <si>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</si>
  <si>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</si>
  <si>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</si>
  <si>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</si>
  <si>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</si>
  <si>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</si>
  <si>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</si>
  <si>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</si>
  <si>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</si>
  <si>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</si>
  <si>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</si>
  <si>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</si>
  <si>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</si>
  <si>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</si>
  <si>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</si>
  <si>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</si>
  <si>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</si>
  <si>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</si>
  <si>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</si>
  <si>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</si>
  <si>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</si>
  <si>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</si>
  <si>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</si>
  <si>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</si>
  <si>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</si>
  <si>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</si>
  <si>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</si>
  <si>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</si>
  <si>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</si>
  <si>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</si>
  <si>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</si>
  <si>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</si>
  <si>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</si>
  <si>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Unlevered FCF</t>
  </si>
  <si>
    <t>Levered FCF Growth YoY</t>
  </si>
  <si>
    <t>Levered FCF</t>
  </si>
  <si>
    <t>Unlevered FCF Proj</t>
  </si>
  <si>
    <t>Unlevered FCF Forecast</t>
  </si>
  <si>
    <t>Shares (5% dilution)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</si>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</sst>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2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8" fontId="12" fillId="5" borderId="10" xfId="0" applyNumberFormat="1" applyFont="1" applyFill="1" applyBorder="1"/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11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0" borderId="0" xfId="0" applyFont="1" applyAlignment="1">
      <alignment inden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/>
    </xf>
    <xf numFmtId="172" fontId="11" fillId="0" borderId="8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1'!$B$107:$H$107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33337</xdr:rowOff>
    </xdr:from>
    <xdr:to>
      <xdr:col>16</xdr:col>
      <xdr:colOff>31749</xdr:colOff>
      <xdr:row>133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3.739E-2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0.95130000000000003</v>
    <v>-0.23</v>
    <v>-3.627E-3</v>
    <v>0.28999999999999998</v>
    <v>4.5889999999999993E-3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65.39</v>
    <v>Software &amp; IT Services</v>
    <v>Stock</v>
    <v>45103.935463726564</v>
    <v>0</v>
    <v>62.783999999999999</v>
    <v>20970187524</v>
    <v>CLOUDFLARE, INC.</v>
    <v>CLOUDFLARE, INC.</v>
    <v>63</v>
    <v>63.41</v>
    <v>63.18</v>
    <v>63.48</v>
    <v>331911800</v>
    <v>NET</v>
    <v>CLOUDFLARE, INC. (XNYS:NET)</v>
    <v>1942675</v>
    <v>5770307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hyperlink" Target="https://finbox.com/NYSE:NET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75" activePane="bottomRight" state="frozen"/>
      <selection pane="topRight"/>
      <selection pane="bottomLeft"/>
      <selection pane="bottomRight" activeCell="K99" sqref="K99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7">
        <v>2023</v>
      </c>
      <c r="J1" s="27">
        <v>2024</v>
      </c>
      <c r="K1" s="27">
        <v>2025</v>
      </c>
      <c r="L1" s="27">
        <v>2026</v>
      </c>
      <c r="M1" s="27">
        <v>2027</v>
      </c>
    </row>
    <row r="2" spans="1:3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8">
        <v>1282000000</v>
      </c>
      <c r="J3" s="28">
        <v>1668000000</v>
      </c>
      <c r="K3" s="28">
        <v>2151000000</v>
      </c>
      <c r="L3" s="28">
        <v>2988000000</v>
      </c>
      <c r="M3" s="28">
        <v>3825000000</v>
      </c>
      <c r="N3" s="19" t="s">
        <v>107</v>
      </c>
      <c r="O3" s="20" t="s">
        <v>108</v>
      </c>
      <c r="P3" s="20" t="s">
        <v>109</v>
      </c>
      <c r="Q3" s="20" t="s">
        <v>110</v>
      </c>
    </row>
    <row r="4" spans="1:38" ht="19" x14ac:dyDescent="0.25">
      <c r="A4" s="14" t="s">
        <v>93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0.30109204368174725</v>
      </c>
      <c r="K4" s="16">
        <f t="shared" si="0"/>
        <v>0.28956834532374098</v>
      </c>
      <c r="L4" s="16">
        <f t="shared" si="0"/>
        <v>0.38912133891213396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(H106+G106+F106)/3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111</v>
      </c>
      <c r="O6" s="20" t="s">
        <v>112</v>
      </c>
      <c r="P6" s="20" t="s">
        <v>113</v>
      </c>
      <c r="Q6" s="20" t="s">
        <v>114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H107/H3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94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95</v>
      </c>
      <c r="O9" s="20" t="s">
        <v>96</v>
      </c>
      <c r="P9" s="20" t="s">
        <v>97</v>
      </c>
      <c r="Q9" s="20" t="s">
        <v>98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115</v>
      </c>
      <c r="O12" s="20" t="s">
        <v>116</v>
      </c>
      <c r="P12" s="20" t="s">
        <v>117</v>
      </c>
      <c r="Q12" s="20" t="s">
        <v>118</v>
      </c>
    </row>
    <row r="13" spans="1:38" ht="19" x14ac:dyDescent="0.25">
      <c r="A13" s="14" t="s">
        <v>99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61">
        <f>H67/H72</f>
        <v>3.1475277419851144</v>
      </c>
    </row>
    <row r="14" spans="1:38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119</v>
      </c>
      <c r="O15" s="20" t="s">
        <v>120</v>
      </c>
      <c r="P15" s="20" t="s">
        <v>121</v>
      </c>
      <c r="Q15" s="20" t="s">
        <v>122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9">
        <f>(H35+G35+F35+E35+D35)/5</f>
        <v>0.13947445605504918</v>
      </c>
      <c r="O16" s="60">
        <f>P101/H3</f>
        <v>21.502569645861893</v>
      </c>
      <c r="P16" s="60">
        <f>P101/H28</f>
        <v>-108.43975118548357</v>
      </c>
      <c r="Q16" s="62">
        <f>P101/H107</f>
        <v>-527.29984470316072</v>
      </c>
    </row>
    <row r="17" spans="1:17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7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123</v>
      </c>
      <c r="O18" s="19" t="s">
        <v>156</v>
      </c>
      <c r="P18" s="20" t="s">
        <v>157</v>
      </c>
      <c r="Q18" s="20" t="s">
        <v>158</v>
      </c>
    </row>
    <row r="19" spans="1:17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56">
        <v>204300000</v>
      </c>
      <c r="J19" s="56">
        <v>265600000</v>
      </c>
      <c r="K19" s="56">
        <v>379000000</v>
      </c>
      <c r="L19" s="56">
        <v>384000000</v>
      </c>
      <c r="M19" s="56">
        <v>528000000</v>
      </c>
      <c r="N19" s="30">
        <f>H40-H56-H61</f>
        <v>72846000</v>
      </c>
      <c r="O19" s="63">
        <f>P101/I3</f>
        <v>16.357400564742591</v>
      </c>
      <c r="P19" s="63">
        <f>P101/I28</f>
        <v>178.62169952299828</v>
      </c>
      <c r="Q19" s="62">
        <f>P101/I105</f>
        <v>-83.836919953014075</v>
      </c>
    </row>
    <row r="20" spans="1:17" ht="19" customHeight="1" x14ac:dyDescent="0.25">
      <c r="A20" s="14" t="s">
        <v>100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0.30004894762604017</v>
      </c>
      <c r="K20" s="16">
        <f t="shared" ref="K20" si="8">(K19/J19)-1</f>
        <v>0.4269578313253013</v>
      </c>
      <c r="L20" s="16">
        <f t="shared" ref="L20" si="9">(L19/K19)-1</f>
        <v>1.3192612137203241E-2</v>
      </c>
      <c r="M20" s="16">
        <f t="shared" ref="M20" si="10">(M19/L19)-1</f>
        <v>0.375</v>
      </c>
    </row>
    <row r="21" spans="1:17" ht="20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57">
        <f>I19/I3</f>
        <v>0.15936037441497661</v>
      </c>
      <c r="J21" s="57">
        <f t="shared" ref="J21:M21" si="11">J19/J3</f>
        <v>0.15923261390887289</v>
      </c>
      <c r="K21" s="57">
        <f t="shared" si="11"/>
        <v>0.17619711761971177</v>
      </c>
      <c r="L21" s="57">
        <f t="shared" si="11"/>
        <v>0.12851405622489959</v>
      </c>
      <c r="M21" s="57">
        <f t="shared" si="11"/>
        <v>0.1380392156862745</v>
      </c>
      <c r="P21" s="19" t="s">
        <v>165</v>
      </c>
      <c r="Q21" s="20" t="s">
        <v>166</v>
      </c>
    </row>
    <row r="22" spans="1:17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  <c r="P22" s="72">
        <f>(-1*H98)/P101</f>
        <v>0</v>
      </c>
      <c r="Q22" s="73">
        <f>H107/P101</f>
        <v>-1.8964541902396009E-3</v>
      </c>
    </row>
    <row r="23" spans="1:17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7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7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7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7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7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64">
        <v>117400000</v>
      </c>
      <c r="J28" s="64">
        <v>148100000</v>
      </c>
      <c r="K28" s="64">
        <v>224500000</v>
      </c>
      <c r="L28" s="64">
        <v>406600000</v>
      </c>
      <c r="M28" s="64">
        <v>637400000</v>
      </c>
    </row>
    <row r="29" spans="1:17" ht="20" customHeight="1" thickTop="1" x14ac:dyDescent="0.25">
      <c r="A29" s="14" t="s">
        <v>101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0.51586765698852122</v>
      </c>
      <c r="L29" s="16">
        <f t="shared" ref="L29" si="18">(L28/K28)-1</f>
        <v>0.81113585746102457</v>
      </c>
      <c r="M29" s="16">
        <f t="shared" ref="M29" si="19">(M28/L28)-1</f>
        <v>0.56763403836694537</v>
      </c>
    </row>
    <row r="30" spans="1:17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57">
        <f>I28/I3</f>
        <v>9.1575663026521065E-2</v>
      </c>
      <c r="J30" s="57">
        <f t="shared" ref="J30:M30" si="20">J28/J3</f>
        <v>8.8788968824940043E-2</v>
      </c>
      <c r="K30" s="57">
        <f t="shared" si="20"/>
        <v>0.10437006043700604</v>
      </c>
      <c r="L30" s="57">
        <f t="shared" si="20"/>
        <v>0.1360776439089692</v>
      </c>
      <c r="M30" s="57">
        <f t="shared" si="20"/>
        <v>0.16664052287581699</v>
      </c>
    </row>
    <row r="31" spans="1:17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7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102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</row>
    <row r="37" spans="1: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</row>
    <row r="38" spans="1:8" ht="19" x14ac:dyDescent="0.25">
      <c r="A38" s="5" t="s">
        <v>30</v>
      </c>
      <c r="B38" s="1" t="s">
        <v>91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91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91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91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</row>
    <row r="43" spans="1:8" ht="19" x14ac:dyDescent="0.25">
      <c r="A43" s="5" t="s">
        <v>35</v>
      </c>
      <c r="B43" s="1" t="s">
        <v>91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91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91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91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91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91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</row>
    <row r="50" spans="1: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</row>
    <row r="51" spans="1:8" ht="19" x14ac:dyDescent="0.25">
      <c r="A51" s="5" t="s">
        <v>43</v>
      </c>
      <c r="B51" s="1" t="s">
        <v>91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91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</row>
    <row r="54" spans="1:8" ht="20" thickBot="1" x14ac:dyDescent="0.3">
      <c r="A54" s="7" t="s">
        <v>46</v>
      </c>
      <c r="B54" s="11" t="s">
        <v>91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91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</row>
    <row r="58" spans="1:8" ht="19" x14ac:dyDescent="0.25">
      <c r="A58" s="5" t="s">
        <v>50</v>
      </c>
      <c r="B58" s="1" t="s">
        <v>91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91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91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91</v>
      </c>
      <c r="C61" s="1">
        <v>255000</v>
      </c>
      <c r="D61" s="1" t="s">
        <v>91</v>
      </c>
      <c r="E61" s="1" t="s">
        <v>91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91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</row>
    <row r="64" spans="1:8" ht="19" x14ac:dyDescent="0.25">
      <c r="A64" s="5" t="s">
        <v>55</v>
      </c>
      <c r="B64" s="1" t="s">
        <v>91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91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</row>
    <row r="67" spans="1:8" ht="19" x14ac:dyDescent="0.25">
      <c r="A67" s="6" t="s">
        <v>58</v>
      </c>
      <c r="B67" s="10" t="s">
        <v>91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91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91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91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91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91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91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</row>
    <row r="75" spans="1: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103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O83" s="68" t="s">
        <v>124</v>
      </c>
      <c r="P83" s="69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70" t="s">
        <v>125</v>
      </c>
      <c r="P84" s="71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91</v>
      </c>
      <c r="O85" s="23" t="s">
        <v>126</v>
      </c>
      <c r="P85" s="24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91</v>
      </c>
      <c r="O86" s="23" t="s">
        <v>127</v>
      </c>
      <c r="P86" s="24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23" t="s">
        <v>128</v>
      </c>
      <c r="P87" s="24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31" t="s">
        <v>129</v>
      </c>
      <c r="P88" s="32">
        <f>P85/(P86+P87)</f>
        <v>3.1602488378920431E-3</v>
      </c>
    </row>
    <row r="89" spans="1:16" ht="20" customHeight="1" x14ac:dyDescent="0.25">
      <c r="A89" s="14" t="s">
        <v>104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23" t="s">
        <v>105</v>
      </c>
      <c r="P89" s="24">
        <f>H27</f>
        <v>2648000</v>
      </c>
    </row>
    <row r="90" spans="1:1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>
        <v>-13941000</v>
      </c>
      <c r="G90" s="1">
        <v>-5605000</v>
      </c>
      <c r="H90" s="1">
        <v>-88187000</v>
      </c>
      <c r="O90" s="23" t="s">
        <v>19</v>
      </c>
      <c r="P90" s="24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31" t="s">
        <v>130</v>
      </c>
      <c r="P91" s="32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33" t="s">
        <v>131</v>
      </c>
      <c r="P92" s="34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70" t="s">
        <v>132</v>
      </c>
      <c r="P93" s="71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23" t="s">
        <v>133</v>
      </c>
      <c r="P94" s="35">
        <f>[1]Treasuries!$C$8</f>
        <v>3.739E-2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91</v>
      </c>
      <c r="O95" s="23" t="s">
        <v>134</v>
      </c>
      <c r="P95" s="36" cm="1">
        <f t="array" ref="P95">_FV(A1,"Beta")</f>
        <v>0.95130000000000003</v>
      </c>
    </row>
    <row r="96" spans="1:1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570544000</v>
      </c>
      <c r="F96" s="1">
        <v>10923000</v>
      </c>
      <c r="G96" s="1" t="s">
        <v>91</v>
      </c>
      <c r="H96" s="1" t="s">
        <v>91</v>
      </c>
      <c r="O96" s="23" t="s">
        <v>135</v>
      </c>
      <c r="P96" s="35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33" t="s">
        <v>136</v>
      </c>
      <c r="P97" s="34">
        <f>(P94)+((P95)*(P96-P94))</f>
        <v>8.1730093000000004E-2</v>
      </c>
    </row>
    <row r="98" spans="1:1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>
        <v>0</v>
      </c>
      <c r="O98" s="70" t="s">
        <v>137</v>
      </c>
      <c r="P98" s="71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23" t="s">
        <v>138</v>
      </c>
      <c r="P99" s="24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31" t="s">
        <v>139</v>
      </c>
      <c r="P100" s="32">
        <f>P99/P103</f>
        <v>6.9945958148399018E-2</v>
      </c>
    </row>
    <row r="101" spans="1:1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O101" s="23" t="s">
        <v>140</v>
      </c>
      <c r="P101" s="37" cm="1">
        <f t="array" ref="P101">_FV(A1,"Market cap",TRUE)</f>
        <v>20970187524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31" t="s">
        <v>141</v>
      </c>
      <c r="P102" s="32">
        <f>P101/P103</f>
        <v>0.93005404185160101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33" t="s">
        <v>142</v>
      </c>
      <c r="P103" s="38">
        <f>P99+P101</f>
        <v>22547278524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70" t="s">
        <v>143</v>
      </c>
      <c r="P104" s="71"/>
    </row>
    <row r="105" spans="1:16" ht="21" thickTop="1" x14ac:dyDescent="0.25">
      <c r="A105" s="14" t="s">
        <v>159</v>
      </c>
      <c r="B105" s="1">
        <f t="shared" ref="B105:G105" si="26">(B22*(1-0.2))+B77+B88+B81</f>
        <v>-32918200</v>
      </c>
      <c r="C105" s="1">
        <f t="shared" si="26"/>
        <v>-19872000</v>
      </c>
      <c r="D105" s="1">
        <f t="shared" si="26"/>
        <v>-86070200</v>
      </c>
      <c r="E105" s="1">
        <f t="shared" si="26"/>
        <v>-113060800</v>
      </c>
      <c r="F105" s="1">
        <f t="shared" si="26"/>
        <v>-153466400</v>
      </c>
      <c r="G105" s="1">
        <f t="shared" si="26"/>
        <v>-125136200</v>
      </c>
      <c r="H105" s="1">
        <f>(H22*(1-0.2))+H77+H88+H81</f>
        <v>-190229400</v>
      </c>
      <c r="I105" s="39">
        <f>H105*(1+$P$106)</f>
        <v>-250130700.60007718</v>
      </c>
      <c r="J105" s="39">
        <f t="shared" ref="J105:M105" si="27">I105*(1+$P$106)</f>
        <v>-328894310.67272174</v>
      </c>
      <c r="K105" s="39">
        <f t="shared" si="27"/>
        <v>-432459779.36085242</v>
      </c>
      <c r="L105" s="39">
        <f t="shared" si="27"/>
        <v>-568636959.33901286</v>
      </c>
      <c r="M105" s="39">
        <f t="shared" si="27"/>
        <v>-747694946.34669983</v>
      </c>
      <c r="N105" s="40" t="s">
        <v>162</v>
      </c>
      <c r="O105" s="25" t="s">
        <v>106</v>
      </c>
      <c r="P105" s="26">
        <f>(P100*P92)+(P102*P97)</f>
        <v>7.6237518821221623E-2</v>
      </c>
    </row>
    <row r="106" spans="1:16" ht="19" x14ac:dyDescent="0.25">
      <c r="A106" s="14" t="s">
        <v>160</v>
      </c>
      <c r="B106" s="1"/>
      <c r="C106" s="15">
        <f t="shared" ref="C106:H106" si="28">(C107/B107)-1</f>
        <v>-0.37859204417116321</v>
      </c>
      <c r="D106" s="15">
        <f t="shared" si="28"/>
        <v>2.9438610662358644</v>
      </c>
      <c r="E106" s="15">
        <f t="shared" si="28"/>
        <v>0.23138760880696374</v>
      </c>
      <c r="F106" s="15">
        <f t="shared" si="28"/>
        <v>-4.2673292028774568E-2</v>
      </c>
      <c r="G106" s="15">
        <f t="shared" si="28"/>
        <v>-0.53209325558415044</v>
      </c>
      <c r="H106" s="15">
        <f t="shared" si="28"/>
        <v>-7.7071246228823442E-2</v>
      </c>
      <c r="I106" s="59">
        <v>86499000</v>
      </c>
      <c r="J106" s="59">
        <v>99979000</v>
      </c>
      <c r="K106" s="59">
        <v>147000000</v>
      </c>
      <c r="L106" s="59">
        <v>317900000</v>
      </c>
      <c r="M106" s="59">
        <v>436700000</v>
      </c>
      <c r="N106" s="40" t="s">
        <v>163</v>
      </c>
      <c r="O106" s="41" t="s">
        <v>144</v>
      </c>
      <c r="P106" s="42">
        <f>(SUM(I4:M4)/5)</f>
        <v>0.31488981513939063</v>
      </c>
    </row>
    <row r="107" spans="1:16" ht="19" x14ac:dyDescent="0.25">
      <c r="A107" s="65" t="s">
        <v>161</v>
      </c>
      <c r="B107" s="1">
        <v>-31876000</v>
      </c>
      <c r="C107" s="1">
        <v>-19808000</v>
      </c>
      <c r="D107" s="1">
        <v>-78120000</v>
      </c>
      <c r="E107" s="1">
        <v>-96196000</v>
      </c>
      <c r="F107" s="1">
        <v>-92091000</v>
      </c>
      <c r="G107" s="1">
        <v>-43090000</v>
      </c>
      <c r="H107" s="1">
        <v>-39769000</v>
      </c>
      <c r="I107" s="40"/>
      <c r="J107" s="40"/>
      <c r="K107" s="40"/>
      <c r="L107" s="40"/>
      <c r="M107" s="58">
        <f>M106*(1+P107)/(P108-P107)</f>
        <v>8736127554.5334396</v>
      </c>
      <c r="N107" s="43" t="s">
        <v>145</v>
      </c>
      <c r="O107" s="44" t="s">
        <v>146</v>
      </c>
      <c r="P107" s="45">
        <v>2.5000000000000001E-2</v>
      </c>
    </row>
    <row r="108" spans="1:16" ht="19" x14ac:dyDescent="0.25">
      <c r="I108" s="58">
        <f t="shared" ref="I108:L108" si="29">I107+I106</f>
        <v>86499000</v>
      </c>
      <c r="J108" s="58">
        <f t="shared" si="29"/>
        <v>99979000</v>
      </c>
      <c r="K108" s="58">
        <f t="shared" si="29"/>
        <v>147000000</v>
      </c>
      <c r="L108" s="58">
        <f t="shared" si="29"/>
        <v>317900000</v>
      </c>
      <c r="M108" s="58">
        <f>M107+M106</f>
        <v>9172827554.5334396</v>
      </c>
      <c r="N108" s="43" t="s">
        <v>142</v>
      </c>
      <c r="O108" s="46" t="s">
        <v>147</v>
      </c>
      <c r="P108" s="47">
        <f>P105</f>
        <v>7.6237518821221623E-2</v>
      </c>
    </row>
    <row r="109" spans="1:16" ht="19" x14ac:dyDescent="0.25">
      <c r="I109" s="66" t="s">
        <v>148</v>
      </c>
      <c r="J109" s="67"/>
    </row>
    <row r="110" spans="1:16" ht="20" x14ac:dyDescent="0.25">
      <c r="I110" s="48" t="s">
        <v>149</v>
      </c>
      <c r="J110" s="37">
        <f>NPV(P108,I108,J108,K108,L108,M108)</f>
        <v>6874322165.2357216</v>
      </c>
    </row>
    <row r="111" spans="1:16" ht="20" x14ac:dyDescent="0.25">
      <c r="I111" s="48" t="s">
        <v>150</v>
      </c>
      <c r="J111" s="37">
        <f>H40</f>
        <v>1649937000</v>
      </c>
    </row>
    <row r="112" spans="1:16" ht="20" x14ac:dyDescent="0.25">
      <c r="I112" s="48" t="s">
        <v>138</v>
      </c>
      <c r="J112" s="37">
        <f>P99</f>
        <v>1577091000</v>
      </c>
    </row>
    <row r="113" spans="9:10" ht="20" x14ac:dyDescent="0.25">
      <c r="I113" s="48" t="s">
        <v>151</v>
      </c>
      <c r="J113" s="37">
        <f>J110+J111-J112</f>
        <v>6947168165.2357216</v>
      </c>
    </row>
    <row r="114" spans="9:10" ht="20" x14ac:dyDescent="0.25">
      <c r="I114" s="48" t="s">
        <v>164</v>
      </c>
      <c r="J114" s="49">
        <f>H34*(1+(5*0.05))</f>
        <v>407915000</v>
      </c>
    </row>
    <row r="115" spans="9:10" ht="20" x14ac:dyDescent="0.25">
      <c r="I115" s="50" t="s">
        <v>152</v>
      </c>
      <c r="J115" s="55">
        <f>J113/J114</f>
        <v>17.030921062563824</v>
      </c>
    </row>
    <row r="116" spans="9:10" ht="20" x14ac:dyDescent="0.25">
      <c r="I116" s="48" t="s">
        <v>153</v>
      </c>
      <c r="J116" s="51" cm="1">
        <f t="array" ref="J116">_FV(A1,"Price")</f>
        <v>63.18</v>
      </c>
    </row>
    <row r="117" spans="9:10" ht="20" x14ac:dyDescent="0.25">
      <c r="I117" s="52" t="s">
        <v>154</v>
      </c>
      <c r="J117" s="53">
        <f>J115/J116-1</f>
        <v>-0.7304380965089613</v>
      </c>
    </row>
    <row r="118" spans="9:10" ht="20" x14ac:dyDescent="0.25">
      <c r="I118" s="52" t="s">
        <v>155</v>
      </c>
      <c r="J118" s="54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  <hyperlink ref="N106" r:id="rId17" xr:uid="{BB71EA66-3294-2744-B0DC-B805978CCB86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2023-06-26T22:31:07Z</dcterms:modified>
</cp:coreProperties>
</file>