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63B7FF3-3F57-864C-924C-E9BEE9CB8479}"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2" i="1" l="1"/>
  <c r="O22" i="1"/>
  <c r="P19" i="1"/>
  <c r="O19" i="1"/>
  <c r="N19" i="1"/>
  <c r="H108" i="1"/>
  <c r="I108" i="1"/>
  <c r="J108" i="1"/>
  <c r="K108" i="1"/>
  <c r="I105" i="1"/>
  <c r="J105" i="1" s="1"/>
  <c r="K105" i="1" s="1"/>
  <c r="L105" i="1" s="1"/>
  <c r="H105" i="1"/>
  <c r="B105" i="1"/>
  <c r="C105" i="1"/>
  <c r="D105" i="1"/>
  <c r="E105" i="1"/>
  <c r="F105" i="1"/>
  <c r="G105" i="1"/>
  <c r="I21" i="1"/>
  <c r="J21" i="1"/>
  <c r="K21" i="1"/>
  <c r="L21" i="1"/>
  <c r="H21" i="1"/>
  <c r="I30" i="1"/>
  <c r="J30" i="1"/>
  <c r="K30" i="1"/>
  <c r="L30" i="1"/>
  <c r="H30" i="1"/>
  <c r="H29" i="1"/>
  <c r="I29" i="1"/>
  <c r="J29" i="1"/>
  <c r="K29" i="1"/>
  <c r="L29" i="1"/>
  <c r="H20" i="1"/>
  <c r="I20" i="1"/>
  <c r="J20" i="1"/>
  <c r="K20" i="1"/>
  <c r="L20" i="1"/>
  <c r="I116" i="1" a="1"/>
  <c r="I116" i="1" s="1"/>
  <c r="I114" i="1" a="1"/>
  <c r="I114" i="1" s="1"/>
  <c r="M16" i="1"/>
  <c r="O101" i="1" a="1"/>
  <c r="O101" i="1" s="1"/>
  <c r="O95" i="1" a="1"/>
  <c r="O95" i="1" s="1"/>
  <c r="F106" i="1"/>
  <c r="G106" i="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P4" i="1" l="1"/>
  <c r="O106" i="1"/>
  <c r="O92" i="1"/>
  <c r="O16" i="1"/>
  <c r="P16" i="1"/>
  <c r="N16" i="1"/>
  <c r="O103" i="1"/>
  <c r="O102" i="1" s="1"/>
  <c r="I112" i="1"/>
  <c r="O100" i="1" l="1"/>
  <c r="O94" i="1" l="1"/>
  <c r="O97" i="1" s="1"/>
  <c r="O105" i="1" s="1"/>
  <c r="O108" i="1" s="1"/>
  <c r="L107" i="1" l="1"/>
  <c r="L108" i="1" s="1"/>
  <c r="I110" i="1" s="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<sst xmlns="http://schemas.openxmlformats.org/spreadsheetml/2006/main" count="298" uniqueCount="167">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</sst>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7" xfId="0" applyFont="1" applyFill="1" applyBorder="1" applyAlignment="1">
      <alignment horizontal="center" vertical="center" wrapText="1"/>
    </xf>
    <xf numFmtId="171" fontId="11" fillId="0" borderId="11"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DDOG</a:t>
            </a:r>
            <a:endParaRPr lang="en-US"/>
          </a:p>
        </c:rich>
      </c:tx>
      <c:layout>
        <c:manualLayout>
          <c:xMode val="edge"/>
          <c:yMode val="edge"/>
          <c:x val="0.45921779579532757"/>
          <c:y val="2.70498756042958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1615667415744696"/>
          <c:w val="0.87811221122112193"/>
          <c:h val="0.742123986761180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17462</xdr:rowOff>
    </xdr:from>
    <xdr:to>
      <xdr:col>15</xdr:col>
      <xdr:colOff>15875</xdr:colOff>
      <xdr:row>133</xdr:row>
      <xdr:rowOff>31749</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0.92569999999999997</v>
    <v>-0.33</v>
    <v>-3.5230000000000001E-3</v>
    <v>-0.04</v>
    <v>-4.2850000000000001E-4</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96.314999999999998</v>
    <v>Software &amp; IT Services</v>
    <v>Stock</v>
    <v>45103.917836816407</v>
    <v>0</v>
    <v>92.75</v>
    <v>30043821834</v>
    <v>DATADOG, INC.</v>
    <v>DATADOG, INC.</v>
    <v>93.1</v>
    <v>93.67</v>
    <v>93.34</v>
    <v>93.3</v>
    <v>321875100</v>
    <v>DDOG</v>
    <v>DATADOG, INC. (XNAS:DDOG)</v>
    <v>2825224</v>
    <v>4371724</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L45" sqref="L45"/>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8">
        <v>2023</v>
      </c>
      <c r="I1" s="28">
        <v>2024</v>
      </c>
      <c r="J1" s="28">
        <v>2025</v>
      </c>
      <c r="K1" s="28">
        <v>2026</v>
      </c>
      <c r="L1" s="28">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9">
        <v>2091000000</v>
      </c>
      <c r="I3" s="29">
        <v>2646000000</v>
      </c>
      <c r="J3" s="29">
        <v>3512000000</v>
      </c>
      <c r="K3" s="29">
        <v>4626000000</v>
      </c>
      <c r="L3" s="29">
        <v>5721000000</v>
      </c>
      <c r="M3" s="19" t="s">
        <v>107</v>
      </c>
      <c r="N3" s="20" t="s">
        <v>108</v>
      </c>
      <c r="O3" s="20" t="s">
        <v>109</v>
      </c>
      <c r="P3" s="20" t="s">
        <v>110</v>
      </c>
    </row>
    <row r="4" spans="1:38" ht="19" x14ac:dyDescent="0.25">
      <c r="A4" s="14" t="s">
        <v>93</v>
      </c>
      <c r="B4" s="1"/>
      <c r="C4" s="15">
        <f>(C3/B3)-1</f>
        <v>0.96581018449598566</v>
      </c>
      <c r="D4" s="15">
        <f>(D3/C3)-1</f>
        <v>0.83150996834564328</v>
      </c>
      <c r="E4" s="15">
        <f>(E3/D3)-1</f>
        <v>0.66344892221180873</v>
      </c>
      <c r="F4" s="16">
        <f t="shared" ref="F4:L4" si="0">(F3/E3)-1</f>
        <v>0.70479198496684159</v>
      </c>
      <c r="G4" s="16">
        <f t="shared" si="0"/>
        <v>0.62823294296956411</v>
      </c>
      <c r="H4" s="16">
        <f t="shared" si="0"/>
        <v>0.2482836845561458</v>
      </c>
      <c r="I4" s="16">
        <f t="shared" si="0"/>
        <v>0.26542324246771876</v>
      </c>
      <c r="J4" s="16">
        <f t="shared" si="0"/>
        <v>0.3272864701436129</v>
      </c>
      <c r="K4" s="16">
        <f t="shared" si="0"/>
        <v>0.31719817767653757</v>
      </c>
      <c r="L4" s="16">
        <f t="shared" si="0"/>
        <v>0.23670557717250329</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111</v>
      </c>
      <c r="N6" s="20" t="s">
        <v>112</v>
      </c>
      <c r="O6" s="20" t="s">
        <v>113</v>
      </c>
      <c r="P6" s="20" t="s">
        <v>114</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G107/G3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30">
        <f>(G35+F35+E35+D35+C35)/5</f>
        <v>0.57794247798510179</v>
      </c>
      <c r="N16" s="31">
        <f>O101/G3</f>
        <v>17.935539271685272</v>
      </c>
      <c r="O16" s="31">
        <f>O101/G28</f>
        <v>-598.95976543062204</v>
      </c>
      <c r="P16" s="32">
        <f>O101/G107</f>
        <v>84.985267607307122</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73" t="s">
        <v>162</v>
      </c>
      <c r="O18" s="73" t="s">
        <v>163</v>
      </c>
      <c r="P18" s="20" t="s">
        <v>164</v>
      </c>
    </row>
    <row r="19" spans="1:16" ht="19" x14ac:dyDescent="0.25">
      <c r="A19" s="6" t="s">
        <v>14</v>
      </c>
      <c r="B19" s="10">
        <v>591000</v>
      </c>
      <c r="C19" s="10">
        <v>-4214000</v>
      </c>
      <c r="D19" s="10">
        <v>-3606000</v>
      </c>
      <c r="E19" s="10">
        <v>23662000</v>
      </c>
      <c r="F19" s="10">
        <v>25568000</v>
      </c>
      <c r="G19" s="10">
        <v>9725000</v>
      </c>
      <c r="H19" s="59">
        <v>394200000</v>
      </c>
      <c r="I19" s="59">
        <v>525000000</v>
      </c>
      <c r="J19" s="59">
        <v>743800000</v>
      </c>
      <c r="K19" s="59">
        <v>839000000</v>
      </c>
      <c r="L19" s="59">
        <v>1112000000</v>
      </c>
      <c r="M19" s="33">
        <f>G40-G56-G61</f>
        <v>1046805000</v>
      </c>
      <c r="N19" s="74">
        <f>O101/H3</f>
        <v>14.368159652797704</v>
      </c>
      <c r="O19" s="74">
        <f>O101/H28</f>
        <v>73.152719342585826</v>
      </c>
      <c r="P19" s="75">
        <f>O101/H106</f>
        <v>107.8385564752333</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39.534704370179952</v>
      </c>
      <c r="I20" s="16">
        <f t="shared" ref="I20" si="5">(I19/H19)-1</f>
        <v>0.33181126331811273</v>
      </c>
      <c r="J20" s="16">
        <f t="shared" ref="J20" si="6">(J19/I19)-1</f>
        <v>0.41676190476190467</v>
      </c>
      <c r="K20" s="16">
        <f t="shared" ref="K20" si="7">(K19/J19)-1</f>
        <v>0.12799139553643446</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60">
        <f>H19/H3</f>
        <v>0.18852223816355809</v>
      </c>
      <c r="I21" s="60">
        <f t="shared" ref="I21:L21" si="9">I19/I3</f>
        <v>0.1984126984126984</v>
      </c>
      <c r="J21" s="60">
        <f t="shared" si="9"/>
        <v>0.21178815489749431</v>
      </c>
      <c r="K21" s="60">
        <f t="shared" si="9"/>
        <v>0.18136619109381755</v>
      </c>
      <c r="L21" s="60">
        <f t="shared" si="9"/>
        <v>0.19437161335430869</v>
      </c>
      <c r="O21" s="19" t="s">
        <v>165</v>
      </c>
      <c r="P21" s="20" t="s">
        <v>166</v>
      </c>
    </row>
    <row r="22" spans="1:16" ht="19" x14ac:dyDescent="0.25">
      <c r="A22" s="6" t="s">
        <v>16</v>
      </c>
      <c r="B22" s="10">
        <v>-2956000</v>
      </c>
      <c r="C22" s="10">
        <v>-11033000</v>
      </c>
      <c r="D22" s="10">
        <v>-20140000</v>
      </c>
      <c r="E22" s="10">
        <v>-13773000</v>
      </c>
      <c r="F22" s="10">
        <v>-19156000</v>
      </c>
      <c r="G22" s="10">
        <v>-58695000</v>
      </c>
      <c r="O22" s="76">
        <f>(-1*G98)/O101</f>
        <v>0</v>
      </c>
      <c r="P22" s="77">
        <f>G107/O101</f>
        <v>1.1766745321326951E-2</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61">
        <v>410700000</v>
      </c>
      <c r="I28" s="61">
        <v>532700000</v>
      </c>
      <c r="J28" s="61">
        <v>711400000</v>
      </c>
      <c r="K28" s="61">
        <v>881200000</v>
      </c>
      <c r="L28" s="61">
        <v>1071000000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-9.187799043062201</v>
      </c>
      <c r="I29" s="16">
        <f t="shared" ref="I29" si="12">(I28/H28)-1</f>
        <v>0.29705381056732416</v>
      </c>
      <c r="J29" s="16">
        <f t="shared" ref="J29" si="13">(J28/I28)-1</f>
        <v>0.33546085977097806</v>
      </c>
      <c r="K29" s="16">
        <f t="shared" ref="K29" si="14">(K28/J28)-1</f>
        <v>0.23868428450941814</v>
      </c>
      <c r="L29" s="16">
        <f t="shared" ref="L29" si="15">(L28/K28)-1</f>
        <v>0.21538810712664547</v>
      </c>
    </row>
    <row r="30" spans="1:16" ht="19" x14ac:dyDescent="0.25">
      <c r="A30" s="5" t="s">
        <v>23</v>
      </c>
      <c r="B30" s="2">
        <v>-2.5499999999999998E-2</v>
      </c>
      <c r="C30" s="2">
        <v>-5.4300000000000001E-2</v>
      </c>
      <c r="D30" s="2">
        <v>-4.6100000000000002E-2</v>
      </c>
      <c r="E30" s="2">
        <v>-4.07E-2</v>
      </c>
      <c r="F30" s="2">
        <v>-2.0199999999999999E-2</v>
      </c>
      <c r="G30" s="2">
        <v>-2.9899999999999999E-2</v>
      </c>
      <c r="H30" s="62">
        <f>H28/H3</f>
        <v>0.19641319942611191</v>
      </c>
      <c r="I30" s="62">
        <f t="shared" ref="I30:L30" si="16">I28/I3</f>
        <v>0.20132275132275132</v>
      </c>
      <c r="J30" s="62">
        <f t="shared" si="16"/>
        <v>0.2025626423690205</v>
      </c>
      <c r="K30" s="62">
        <f t="shared" si="16"/>
        <v>0.19048854301772589</v>
      </c>
      <c r="L30" s="62">
        <f t="shared" si="16"/>
        <v>0.18720503408495018</v>
      </c>
    </row>
    <row r="31" spans="1:16" ht="19" x14ac:dyDescent="0.25">
      <c r="A31" s="5" t="s">
        <v>24</v>
      </c>
      <c r="B31" s="12">
        <v>-0.03</v>
      </c>
      <c r="C31" s="12">
        <v>-0.04</v>
      </c>
      <c r="D31" s="12">
        <v>-0.12</v>
      </c>
      <c r="E31" s="12">
        <v>-0.08</v>
      </c>
      <c r="F31" s="12">
        <v>-7.0000000000000007E-2</v>
      </c>
      <c r="G31" s="12">
        <v>-0.16</v>
      </c>
      <c r="H31" s="63">
        <v>1.28</v>
      </c>
      <c r="I31" s="63">
        <v>1.66</v>
      </c>
      <c r="J31" s="63">
        <v>2.21</v>
      </c>
      <c r="K31" s="63">
        <v>2.74</v>
      </c>
      <c r="L31" s="63">
        <v>3.33</v>
      </c>
    </row>
    <row r="32" spans="1:16"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 si="19">(G34-F34)/F34</f>
        <v>0</v>
      </c>
    </row>
    <row r="36" spans="1:7" ht="19" x14ac:dyDescent="0.25">
      <c r="A36" s="5" t="s">
        <v>28</v>
      </c>
      <c r="B36" s="13" t="s">
        <v>92</v>
      </c>
      <c r="C36" s="13" t="s">
        <v>92</v>
      </c>
      <c r="D36" s="13" t="s">
        <v>92</v>
      </c>
      <c r="E36" s="13" t="s">
        <v>92</v>
      </c>
      <c r="F36" s="13" t="s">
        <v>92</v>
      </c>
      <c r="G36" s="13" t="s">
        <v>92</v>
      </c>
    </row>
    <row r="37" spans="1:7" ht="21" x14ac:dyDescent="0.25">
      <c r="A37" s="4" t="s">
        <v>29</v>
      </c>
      <c r="B37" s="9" t="s">
        <v>90</v>
      </c>
      <c r="C37" s="9" t="s">
        <v>90</v>
      </c>
      <c r="D37" s="9" t="s">
        <v>90</v>
      </c>
      <c r="E37" s="9" t="s">
        <v>90</v>
      </c>
      <c r="F37" s="9" t="s">
        <v>90</v>
      </c>
      <c r="G37" s="9" t="s">
        <v>90</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91</v>
      </c>
      <c r="C39" s="1" t="s">
        <v>91</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91</v>
      </c>
      <c r="C42" s="1" t="s">
        <v>91</v>
      </c>
      <c r="D42" s="1" t="s">
        <v>91</v>
      </c>
      <c r="E42" s="1" t="s">
        <v>91</v>
      </c>
      <c r="F42" s="1" t="s">
        <v>91</v>
      </c>
      <c r="G42" s="1" t="s">
        <v>91</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91</v>
      </c>
      <c r="C83" s="1" t="s">
        <v>91</v>
      </c>
      <c r="D83" s="1" t="s">
        <v>91</v>
      </c>
      <c r="E83" s="1" t="s">
        <v>91</v>
      </c>
      <c r="F83" s="1" t="s">
        <v>91</v>
      </c>
      <c r="G83" s="1" t="s">
        <v>91</v>
      </c>
      <c r="N83" s="69" t="s">
        <v>123</v>
      </c>
      <c r="O83" s="70"/>
    </row>
    <row r="84" spans="1:15" ht="19" x14ac:dyDescent="0.25">
      <c r="A84" s="5" t="s">
        <v>47</v>
      </c>
      <c r="B84" s="1">
        <v>4647000</v>
      </c>
      <c r="C84" s="1">
        <v>7241000</v>
      </c>
      <c r="D84" s="1">
        <v>2484000</v>
      </c>
      <c r="E84" s="1">
        <v>6539000</v>
      </c>
      <c r="F84" s="1">
        <v>3078000</v>
      </c>
      <c r="G84" s="1">
        <v>-1286000</v>
      </c>
      <c r="N84" s="71" t="s">
        <v>124</v>
      </c>
      <c r="O84" s="72"/>
    </row>
    <row r="85" spans="1:15" ht="20" x14ac:dyDescent="0.25">
      <c r="A85" s="5" t="s">
        <v>71</v>
      </c>
      <c r="B85" s="1">
        <v>26473000</v>
      </c>
      <c r="C85" s="1">
        <v>22674000</v>
      </c>
      <c r="D85" s="1">
        <v>47644000</v>
      </c>
      <c r="E85" s="1">
        <v>44708000</v>
      </c>
      <c r="F85" s="1">
        <v>133506000</v>
      </c>
      <c r="G85" s="1">
        <v>117546000</v>
      </c>
      <c r="N85" s="24" t="s">
        <v>125</v>
      </c>
      <c r="O85" s="25">
        <f>G17</f>
        <v>13166000</v>
      </c>
    </row>
    <row r="86" spans="1:15" ht="20" x14ac:dyDescent="0.25">
      <c r="A86" s="5" t="s">
        <v>72</v>
      </c>
      <c r="B86" s="1">
        <v>1656000</v>
      </c>
      <c r="C86" s="1">
        <v>3157000</v>
      </c>
      <c r="D86" s="1">
        <v>19078000</v>
      </c>
      <c r="E86" s="1">
        <v>56280000</v>
      </c>
      <c r="F86" s="1">
        <v>57237000</v>
      </c>
      <c r="G86" s="1">
        <v>64391000</v>
      </c>
      <c r="N86" s="24" t="s">
        <v>126</v>
      </c>
      <c r="O86" s="25">
        <f>G56</f>
        <v>22092000</v>
      </c>
    </row>
    <row r="87" spans="1:15" ht="20" x14ac:dyDescent="0.25">
      <c r="A87" s="6" t="s">
        <v>73</v>
      </c>
      <c r="B87" s="10">
        <v>13832000</v>
      </c>
      <c r="C87" s="10">
        <v>10829000</v>
      </c>
      <c r="D87" s="10">
        <v>24234000</v>
      </c>
      <c r="E87" s="10">
        <v>109091000</v>
      </c>
      <c r="F87" s="10">
        <v>286545000</v>
      </c>
      <c r="G87" s="10">
        <v>418407000</v>
      </c>
      <c r="N87" s="24" t="s">
        <v>127</v>
      </c>
      <c r="O87" s="25">
        <f>G61</f>
        <v>815429000</v>
      </c>
    </row>
    <row r="88" spans="1:15" ht="20" x14ac:dyDescent="0.25">
      <c r="A88" s="5" t="s">
        <v>74</v>
      </c>
      <c r="B88" s="1">
        <v>-2351000</v>
      </c>
      <c r="C88" s="1">
        <v>-9662000</v>
      </c>
      <c r="D88" s="1">
        <v>-13315000</v>
      </c>
      <c r="E88" s="1">
        <v>-5415000</v>
      </c>
      <c r="F88" s="1">
        <v>-9956000</v>
      </c>
      <c r="G88" s="1">
        <v>-35261000</v>
      </c>
      <c r="N88" s="34" t="s">
        <v>128</v>
      </c>
      <c r="O88" s="35">
        <f>O85/(O86+O87)</f>
        <v>1.5720202836704989E-2</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N89" s="24" t="s">
        <v>105</v>
      </c>
      <c r="O89" s="25">
        <f>G27</f>
        <v>12090000</v>
      </c>
    </row>
    <row r="90" spans="1:15" ht="20" x14ac:dyDescent="0.25">
      <c r="A90" s="5" t="s">
        <v>75</v>
      </c>
      <c r="B90" s="1">
        <v>-4957000</v>
      </c>
      <c r="C90" s="1">
        <v>-1618000</v>
      </c>
      <c r="D90" s="1">
        <v>-2138000</v>
      </c>
      <c r="E90" s="1">
        <v>-2363000</v>
      </c>
      <c r="F90" s="1">
        <v>-226505000</v>
      </c>
      <c r="G90" s="1">
        <v>-45878000</v>
      </c>
      <c r="N90" s="24" t="s">
        <v>19</v>
      </c>
      <c r="O90" s="25">
        <f>G25</f>
        <v>-38070000</v>
      </c>
    </row>
    <row r="91" spans="1:15" ht="20" x14ac:dyDescent="0.25">
      <c r="A91" s="5" t="s">
        <v>76</v>
      </c>
      <c r="B91" s="1" t="s">
        <v>91</v>
      </c>
      <c r="C91" s="1" t="s">
        <v>91</v>
      </c>
      <c r="D91" s="1">
        <v>-176639000</v>
      </c>
      <c r="E91" s="1">
        <v>-1794562000</v>
      </c>
      <c r="F91" s="1">
        <v>-1125519000</v>
      </c>
      <c r="G91" s="1">
        <v>-1413717000</v>
      </c>
      <c r="N91" s="34" t="s">
        <v>129</v>
      </c>
      <c r="O91" s="35">
        <f>O89/O90</f>
        <v>-0.31757289204097716</v>
      </c>
    </row>
    <row r="92" spans="1:15" ht="20" x14ac:dyDescent="0.25">
      <c r="A92" s="5" t="s">
        <v>77</v>
      </c>
      <c r="B92" s="1" t="s">
        <v>91</v>
      </c>
      <c r="C92" s="1" t="s">
        <v>91</v>
      </c>
      <c r="D92" s="1" t="s">
        <v>91</v>
      </c>
      <c r="E92" s="1">
        <v>670184000</v>
      </c>
      <c r="F92" s="1">
        <v>1114309000</v>
      </c>
      <c r="G92" s="1">
        <v>1139814000</v>
      </c>
      <c r="N92" s="36" t="s">
        <v>130</v>
      </c>
      <c r="O92" s="37">
        <f>O88*(1-O91)</f>
        <v>2.0712513115028166E-2</v>
      </c>
    </row>
    <row r="93" spans="1:15" ht="19" x14ac:dyDescent="0.25">
      <c r="A93" s="5" t="s">
        <v>78</v>
      </c>
      <c r="B93" s="1">
        <v>-5452000</v>
      </c>
      <c r="C93" s="1">
        <v>-6176000</v>
      </c>
      <c r="D93" s="1">
        <v>-10128000</v>
      </c>
      <c r="E93" s="1">
        <v>-20468000</v>
      </c>
      <c r="F93" s="1">
        <v>-26069000</v>
      </c>
      <c r="G93" s="1">
        <v>-29628000</v>
      </c>
      <c r="N93" s="71" t="s">
        <v>131</v>
      </c>
      <c r="O93" s="72"/>
    </row>
    <row r="94" spans="1:15" ht="20" x14ac:dyDescent="0.25">
      <c r="A94" s="6" t="s">
        <v>79</v>
      </c>
      <c r="B94" s="10">
        <v>-12760000</v>
      </c>
      <c r="C94" s="10">
        <v>-17456000</v>
      </c>
      <c r="D94" s="10">
        <v>-202220000</v>
      </c>
      <c r="E94" s="10">
        <v>-1152624000</v>
      </c>
      <c r="F94" s="10">
        <v>-273740000</v>
      </c>
      <c r="G94" s="10">
        <v>-384670000</v>
      </c>
      <c r="N94" s="24" t="s">
        <v>132</v>
      </c>
      <c r="O94" s="38">
        <f>[1]Treasuries!$C$8</f>
        <v>3.739E-2</v>
      </c>
    </row>
    <row r="95" spans="1:15" ht="20" x14ac:dyDescent="0.25">
      <c r="A95" s="5" t="s">
        <v>80</v>
      </c>
      <c r="B95" s="1" t="s">
        <v>91</v>
      </c>
      <c r="C95" s="1" t="s">
        <v>91</v>
      </c>
      <c r="D95" s="1" t="s">
        <v>91</v>
      </c>
      <c r="E95" s="1" t="s">
        <v>91</v>
      </c>
      <c r="F95" s="1" t="s">
        <v>91</v>
      </c>
      <c r="G95" s="1">
        <v>-3000</v>
      </c>
      <c r="N95" s="24" t="s">
        <v>133</v>
      </c>
      <c r="O95" s="39" cm="1">
        <f t="array" ref="O95">_FV(A1,"Beta")</f>
        <v>0.92569999999999997</v>
      </c>
    </row>
    <row r="96" spans="1:15" ht="20" x14ac:dyDescent="0.25">
      <c r="A96" s="5" t="s">
        <v>81</v>
      </c>
      <c r="B96" s="1" t="s">
        <v>91</v>
      </c>
      <c r="C96" s="1" t="s">
        <v>91</v>
      </c>
      <c r="D96" s="1">
        <v>706317000</v>
      </c>
      <c r="E96" s="1" t="s">
        <v>91</v>
      </c>
      <c r="F96" s="1" t="s">
        <v>91</v>
      </c>
      <c r="G96" s="1" t="s">
        <v>91</v>
      </c>
      <c r="N96" s="24" t="s">
        <v>134</v>
      </c>
      <c r="O96" s="38">
        <v>8.4000000000000005E-2</v>
      </c>
    </row>
    <row r="97" spans="1:15" ht="20" x14ac:dyDescent="0.25">
      <c r="A97" s="5" t="s">
        <v>82</v>
      </c>
      <c r="B97" s="1" t="s">
        <v>91</v>
      </c>
      <c r="C97" s="1" t="s">
        <v>91</v>
      </c>
      <c r="D97" s="1" t="s">
        <v>91</v>
      </c>
      <c r="E97" s="1">
        <v>-421000</v>
      </c>
      <c r="F97" s="1" t="s">
        <v>91</v>
      </c>
      <c r="G97" s="1" t="s">
        <v>91</v>
      </c>
      <c r="N97" s="36" t="s">
        <v>135</v>
      </c>
      <c r="O97" s="37">
        <f>(O94)+((O95)*(O96-O94))</f>
        <v>8.0536877000000007E-2</v>
      </c>
    </row>
    <row r="98" spans="1:15" ht="19" x14ac:dyDescent="0.25">
      <c r="A98" s="5" t="s">
        <v>83</v>
      </c>
      <c r="B98" s="1" t="s">
        <v>91</v>
      </c>
      <c r="C98" s="1" t="s">
        <v>91</v>
      </c>
      <c r="D98" s="1" t="s">
        <v>91</v>
      </c>
      <c r="E98" s="1" t="s">
        <v>91</v>
      </c>
      <c r="F98" s="1" t="s">
        <v>91</v>
      </c>
      <c r="G98" s="1">
        <v>0</v>
      </c>
      <c r="N98" s="71" t="s">
        <v>136</v>
      </c>
      <c r="O98" s="72"/>
    </row>
    <row r="99" spans="1:15" ht="20" x14ac:dyDescent="0.25">
      <c r="A99" s="5" t="s">
        <v>84</v>
      </c>
      <c r="B99" s="1">
        <v>462000</v>
      </c>
      <c r="C99" s="1">
        <v>7782000</v>
      </c>
      <c r="D99" s="1">
        <v>7899000</v>
      </c>
      <c r="E99" s="1">
        <v>670697000</v>
      </c>
      <c r="F99" s="1">
        <v>34940000</v>
      </c>
      <c r="G99" s="1">
        <v>36026000</v>
      </c>
      <c r="N99" s="24" t="s">
        <v>137</v>
      </c>
      <c r="O99" s="25">
        <f>O86+O87</f>
        <v>837521000</v>
      </c>
    </row>
    <row r="100" spans="1:15" ht="20" x14ac:dyDescent="0.25">
      <c r="A100" s="6" t="s">
        <v>85</v>
      </c>
      <c r="B100" s="10">
        <v>462000</v>
      </c>
      <c r="C100" s="10">
        <v>7782000</v>
      </c>
      <c r="D100" s="10">
        <v>714216000</v>
      </c>
      <c r="E100" s="10">
        <v>670276000</v>
      </c>
      <c r="F100" s="10">
        <v>34940000</v>
      </c>
      <c r="G100" s="10">
        <v>36023000</v>
      </c>
      <c r="N100" s="34" t="s">
        <v>138</v>
      </c>
      <c r="O100" s="35">
        <f>O99/O103</f>
        <v>2.7120614686415096E-2</v>
      </c>
    </row>
    <row r="101" spans="1:15" ht="20" x14ac:dyDescent="0.25">
      <c r="A101" s="5" t="s">
        <v>86</v>
      </c>
      <c r="B101" s="1">
        <v>-54000</v>
      </c>
      <c r="C101" s="1">
        <v>47000</v>
      </c>
      <c r="D101" s="1">
        <v>-21000</v>
      </c>
      <c r="E101" s="1">
        <v>779000</v>
      </c>
      <c r="F101" s="1">
        <v>-1993000</v>
      </c>
      <c r="G101" s="1">
        <v>-1935000</v>
      </c>
      <c r="N101" s="24" t="s">
        <v>139</v>
      </c>
      <c r="O101" s="40" cm="1">
        <f t="array" ref="O101">_FV(A1,"Market cap",TRUE)</f>
        <v>30043821834</v>
      </c>
    </row>
    <row r="102" spans="1:15" ht="20" x14ac:dyDescent="0.25">
      <c r="A102" s="6" t="s">
        <v>87</v>
      </c>
      <c r="B102" s="10">
        <v>1480000</v>
      </c>
      <c r="C102" s="10">
        <v>1202000</v>
      </c>
      <c r="D102" s="10">
        <v>536209000</v>
      </c>
      <c r="E102" s="10">
        <v>-372478000</v>
      </c>
      <c r="F102" s="10">
        <v>45752000</v>
      </c>
      <c r="G102" s="10">
        <v>67825000</v>
      </c>
      <c r="N102" s="34" t="s">
        <v>140</v>
      </c>
      <c r="O102" s="35">
        <f>O101/O103</f>
        <v>0.97287938531358487</v>
      </c>
    </row>
    <row r="103" spans="1:15" ht="20" x14ac:dyDescent="0.25">
      <c r="A103" s="5" t="s">
        <v>88</v>
      </c>
      <c r="B103" s="1">
        <v>62298000</v>
      </c>
      <c r="C103" s="1">
        <v>63778000</v>
      </c>
      <c r="D103" s="1">
        <v>64980000</v>
      </c>
      <c r="E103" s="1">
        <v>601189000</v>
      </c>
      <c r="F103" s="1">
        <v>228711000</v>
      </c>
      <c r="G103" s="1">
        <v>274463000</v>
      </c>
      <c r="N103" s="36" t="s">
        <v>141</v>
      </c>
      <c r="O103" s="41">
        <f>O99+O101</f>
        <v>30881342834</v>
      </c>
    </row>
    <row r="104" spans="1:15" ht="20" thickBot="1" x14ac:dyDescent="0.3">
      <c r="A104" s="7" t="s">
        <v>89</v>
      </c>
      <c r="B104" s="11">
        <v>63778000</v>
      </c>
      <c r="C104" s="11">
        <v>64980000</v>
      </c>
      <c r="D104" s="11">
        <v>601189000</v>
      </c>
      <c r="E104" s="11">
        <v>228711000</v>
      </c>
      <c r="F104" s="11">
        <v>274463000</v>
      </c>
      <c r="G104" s="11">
        <v>342288000</v>
      </c>
      <c r="N104" s="71" t="s">
        <v>142</v>
      </c>
      <c r="O104" s="72"/>
    </row>
    <row r="105" spans="1:15" ht="21" thickTop="1" x14ac:dyDescent="0.25">
      <c r="A105" s="14" t="s">
        <v>157</v>
      </c>
      <c r="B105" s="1">
        <f t="shared" ref="B105:F105" si="22">(B22*(1-0.2))+B77+B88+B81</f>
        <v>6962200</v>
      </c>
      <c r="C105" s="1">
        <f t="shared" si="22"/>
        <v>-5298400</v>
      </c>
      <c r="D105" s="1">
        <f t="shared" si="22"/>
        <v>-26595000</v>
      </c>
      <c r="E105" s="1">
        <f t="shared" si="22"/>
        <v>-13449400</v>
      </c>
      <c r="F105" s="1">
        <f t="shared" si="22"/>
        <v>61035200</v>
      </c>
      <c r="G105" s="1">
        <f>(G22*(1-0.2))+G77+G88+G81</f>
        <v>-41195000</v>
      </c>
      <c r="H105" s="42">
        <f>G105*(1+$O$106)</f>
        <v>-52687557.635464095</v>
      </c>
      <c r="I105" s="42">
        <f t="shared" ref="I105:L105" si="23">H105*(1+$O$106)</f>
        <v>-67386302.453947112</v>
      </c>
      <c r="J105" s="42">
        <f t="shared" si="23"/>
        <v>-86185694.72953403</v>
      </c>
      <c r="K105" s="42">
        <f t="shared" si="23"/>
        <v>-110229730.75409245</v>
      </c>
      <c r="L105" s="42">
        <f t="shared" si="23"/>
        <v>-140981558.25337869</v>
      </c>
      <c r="M105" s="43" t="s">
        <v>160</v>
      </c>
      <c r="N105" s="26" t="s">
        <v>106</v>
      </c>
      <c r="O105" s="27">
        <f>(O100*O92)+(O102*O97)</f>
        <v>7.8914403478215794E-2</v>
      </c>
    </row>
    <row r="106" spans="1:15" ht="19" x14ac:dyDescent="0.25">
      <c r="A106" s="14" t="s">
        <v>158</v>
      </c>
      <c r="B106" s="1"/>
      <c r="C106" s="15">
        <f>(C107/B107)-1</f>
        <v>-1.8308177143804942</v>
      </c>
      <c r="D106" s="15">
        <f>(D107/C107)-1</f>
        <v>-1.1579157516470353</v>
      </c>
      <c r="E106" s="15">
        <f>(E107/D107)-1</f>
        <v>104.19342604298356</v>
      </c>
      <c r="F106" s="15">
        <f>(F107/E107)-1</f>
        <v>2.0107681953658303</v>
      </c>
      <c r="G106" s="15">
        <f>(G107/F107)-1</f>
        <v>0.41113683538240453</v>
      </c>
      <c r="H106" s="65">
        <v>278600000</v>
      </c>
      <c r="I106" s="65">
        <v>369000000</v>
      </c>
      <c r="J106" s="65">
        <v>573900000</v>
      </c>
      <c r="K106" s="65">
        <v>826900000</v>
      </c>
      <c r="L106" s="65">
        <v>974550000</v>
      </c>
      <c r="M106" s="43" t="s">
        <v>161</v>
      </c>
      <c r="N106" s="44" t="s">
        <v>143</v>
      </c>
      <c r="O106" s="45">
        <f>(SUM(H4:L4)/5)</f>
        <v>0.27897943040330364</v>
      </c>
    </row>
    <row r="107" spans="1:15" ht="19" x14ac:dyDescent="0.25">
      <c r="A107" s="64" t="s">
        <v>159</v>
      </c>
      <c r="B107" s="1">
        <v>6029000</v>
      </c>
      <c r="C107" s="1">
        <v>-5009000</v>
      </c>
      <c r="D107" s="1">
        <v>791000</v>
      </c>
      <c r="E107" s="1">
        <v>83208000</v>
      </c>
      <c r="F107" s="1">
        <v>250520000</v>
      </c>
      <c r="G107" s="1">
        <v>353518000</v>
      </c>
      <c r="H107" s="43"/>
      <c r="I107" s="43"/>
      <c r="J107" s="43"/>
      <c r="K107" s="43"/>
      <c r="L107" s="66">
        <f>L106*(1+O107)/(O108-O107)</f>
        <v>18527771533.327133</v>
      </c>
      <c r="M107" s="46" t="s">
        <v>144</v>
      </c>
      <c r="N107" s="47" t="s">
        <v>145</v>
      </c>
      <c r="O107" s="48">
        <v>2.5000000000000001E-2</v>
      </c>
    </row>
    <row r="108" spans="1:15" ht="19" x14ac:dyDescent="0.25">
      <c r="H108" s="66">
        <f t="shared" ref="H108:K108" si="24">H107+H106</f>
        <v>278600000</v>
      </c>
      <c r="I108" s="66">
        <f t="shared" si="24"/>
        <v>369000000</v>
      </c>
      <c r="J108" s="66">
        <f t="shared" si="24"/>
        <v>573900000</v>
      </c>
      <c r="K108" s="66">
        <f t="shared" si="24"/>
        <v>826900000</v>
      </c>
      <c r="L108" s="66">
        <f>L107+L106</f>
        <v>19502321533.327133</v>
      </c>
      <c r="M108" s="46" t="s">
        <v>141</v>
      </c>
      <c r="N108" s="49" t="s">
        <v>146</v>
      </c>
      <c r="O108" s="50">
        <f>O105</f>
        <v>7.8914403478215794E-2</v>
      </c>
    </row>
    <row r="109" spans="1:15" ht="19" x14ac:dyDescent="0.25">
      <c r="H109" s="67" t="s">
        <v>147</v>
      </c>
      <c r="I109" s="68"/>
    </row>
    <row r="110" spans="1:15" ht="20" x14ac:dyDescent="0.25">
      <c r="H110" s="51" t="s">
        <v>148</v>
      </c>
      <c r="I110" s="40">
        <f>NPV(O108,H108,I108,J108,K108,L108)</f>
        <v>14982283174.156906</v>
      </c>
    </row>
    <row r="111" spans="1:15" ht="20" x14ac:dyDescent="0.25">
      <c r="H111" s="51" t="s">
        <v>149</v>
      </c>
      <c r="I111" s="40">
        <f>G40</f>
        <v>1884326000</v>
      </c>
    </row>
    <row r="112" spans="1:15" ht="20" x14ac:dyDescent="0.25">
      <c r="H112" s="51" t="s">
        <v>137</v>
      </c>
      <c r="I112" s="40">
        <f>O99</f>
        <v>837521000</v>
      </c>
    </row>
    <row r="113" spans="8:9" ht="20" x14ac:dyDescent="0.25">
      <c r="H113" s="51" t="s">
        <v>150</v>
      </c>
      <c r="I113" s="40">
        <f>I110+I111-I112</f>
        <v>16029088174.156906</v>
      </c>
    </row>
    <row r="114" spans="8:9" ht="20" x14ac:dyDescent="0.25">
      <c r="H114" s="51" t="s">
        <v>156</v>
      </c>
      <c r="I114" s="52" cm="1">
        <f t="array" ref="I114">_FV(A1,"Shares outstanding",TRUE)</f>
        <v>321875100</v>
      </c>
    </row>
    <row r="115" spans="8:9" ht="20" x14ac:dyDescent="0.25">
      <c r="H115" s="53" t="s">
        <v>151</v>
      </c>
      <c r="I115" s="58">
        <f>I113/I114</f>
        <v>49.79909341902156</v>
      </c>
    </row>
    <row r="116" spans="8:9" ht="20" x14ac:dyDescent="0.25">
      <c r="H116" s="51" t="s">
        <v>152</v>
      </c>
      <c r="I116" s="54" cm="1">
        <f t="array" ref="I116">_FV(A1,"Price")</f>
        <v>93.34</v>
      </c>
    </row>
    <row r="117" spans="8:9" ht="20" x14ac:dyDescent="0.25">
      <c r="H117" s="55" t="s">
        <v>153</v>
      </c>
      <c r="I117" s="56">
        <f>I115/I116-1</f>
        <v>-0.46647639362522442</v>
      </c>
    </row>
    <row r="118" spans="8:9" ht="20" x14ac:dyDescent="0.25">
      <c r="H118" s="55" t="s">
        <v>154</v>
      </c>
      <c r="I118" s="57"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6"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2023-03-14T02:21:39Z</dcterms:created>
  <dcterms:modified xsi:type="dcterms:W3CDTF">2023-06-26T22:33:33Z</dcterms:modified>
</cp:coreProperties>
</file>