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A4479BD-FC1B-CF40-8C95-49AE0A587C9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4" i="1" l="1"/>
  <c r="W108" i="1"/>
  <c r="X108" i="1"/>
  <c r="Y108" i="1"/>
  <c r="Z108" i="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97" i="1" s="1"/>
  <c r="AD86" i="1"/>
  <c r="AD87" i="1"/>
  <c r="AD99" i="1"/>
  <c r="AD85" i="1"/>
  <c r="AD88" i="1"/>
  <c r="AD89" i="1"/>
  <c r="AD90" i="1"/>
  <c r="AD91" i="1"/>
  <c r="AD92" i="1"/>
  <c r="X111" i="1"/>
  <c r="X112" i="1"/>
  <c r="AB16" i="1"/>
  <c r="X114" i="1"/>
  <c r="W4" i="1"/>
  <c r="X4" i="1"/>
  <c r="Y4" i="1"/>
  <c r="Z4" i="1"/>
  <c r="AA4" i="1"/>
  <c r="AD106" i="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22" i="1" l="1"/>
  <c r="AD22" i="1"/>
  <c r="AE19" i="1"/>
  <c r="AC19" i="1"/>
  <c r="AD19" i="1"/>
  <c r="AE16" i="1"/>
  <c r="AD16" i="1"/>
  <c r="AC16" i="1"/>
  <c r="AD103" i="1"/>
  <c r="AD100" i="1" s="1"/>
  <c r="AD102" i="1" l="1"/>
  <c r="AD105" i="1" s="1"/>
  <c r="AD108" i="1" s="1"/>
  <c r="AA107" i="1" s="1"/>
  <c r="AA108" i="1" s="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<sst xmlns="http://schemas.openxmlformats.org/spreadsheetml/2006/main" count="673" uniqueCount="167">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</sst>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5" xfId="0" applyNumberFormat="1" applyFont="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611.46</v>
    <v>1.5692999999999999</v>
    <v>-15.02</v>
    <v>-1.2097999999999999E-2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1237.77</v>
    <v>Software &amp; IT Services</v>
    <v>Stock</v>
    <v>45100.999660867972</v>
    <v>0</v>
    <v>1190.03</v>
    <v>61579130000</v>
    <v>MERCADOLIBRE, INC.</v>
    <v>MERCADOLIBRE, INC.</v>
    <v>1221.8499999999999</v>
    <v>100.2555</v>
    <v>1241.51</v>
    <v>1226.49</v>
    <v>50207610</v>
    <v>MELI</v>
    <v>MERCADOLIBRE, INC. (XNAS:MELI)</v>
    <v>2</v>
    <v>453835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T86" activePane="bottomRight" state="frozen"/>
      <selection pane="topRight"/>
      <selection pane="bottomLeft"/>
      <selection pane="bottomRight" activeCell="Y96" sqref="Y96"/>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8">
        <v>13132000000</v>
      </c>
      <c r="X3" s="28">
        <v>16281000000</v>
      </c>
      <c r="Y3" s="28">
        <v>19625000000</v>
      </c>
      <c r="Z3" s="28">
        <v>22989000000</v>
      </c>
      <c r="AA3" s="28">
        <v>28407000000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0.24627503084369362</v>
      </c>
      <c r="X4" s="16">
        <f t="shared" si="0"/>
        <v>0.23979591836734704</v>
      </c>
      <c r="Y4" s="16">
        <f t="shared" si="0"/>
        <v>0.20539278914071613</v>
      </c>
      <c r="Z4" s="16">
        <f t="shared" si="0"/>
        <v>0.17141401273885348</v>
      </c>
      <c r="AA4" s="16">
        <f t="shared" si="0"/>
        <v>0.23567793292444206</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62">
        <f>AD101/V3</f>
        <v>5.8440856031128403</v>
      </c>
      <c r="AD16" s="62">
        <f>AD101/V28</f>
        <v>127.75753112033195</v>
      </c>
      <c r="AE16" s="63">
        <f>AD101/V107</f>
        <v>24.770366049879325</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57">
        <v>2007000000</v>
      </c>
      <c r="X19" s="57">
        <v>2581000000</v>
      </c>
      <c r="Y19" s="57">
        <v>3469000000</v>
      </c>
      <c r="Z19" s="57">
        <v>4574000000</v>
      </c>
      <c r="AA19" s="57">
        <v>5847000000</v>
      </c>
      <c r="AB19" s="30">
        <f>V40-V56-V61</f>
        <v>3593000000</v>
      </c>
      <c r="AC19" s="62">
        <f>AD101/W3</f>
        <v>4.689242308863844</v>
      </c>
      <c r="AD19" s="62">
        <f>AD101/W28</f>
        <v>70.183644859813086</v>
      </c>
      <c r="AE19" s="63">
        <f>AD101/W106</f>
        <v>203.0973944591029</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0.33444148936170204</v>
      </c>
      <c r="X20" s="16">
        <f t="shared" ref="X20" si="5">(X19/W19)-1</f>
        <v>0.28599900348779284</v>
      </c>
      <c r="Y20" s="16">
        <f t="shared" ref="Y20" si="6">(Y19/X19)-1</f>
        <v>0.34405269275474626</v>
      </c>
      <c r="Z20" s="16">
        <f t="shared" ref="Z20" si="7">(Z19/Y19)-1</f>
        <v>0.31853560103776313</v>
      </c>
      <c r="AA20" s="16">
        <f t="shared" ref="AA20" si="8">(AA19/Z19)-1</f>
        <v>0.27831219938784435</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61">
        <f t="shared" ref="W21:AA21" si="9">W19/W3</f>
        <v>0.15283277490100519</v>
      </c>
      <c r="X21" s="61">
        <f t="shared" si="9"/>
        <v>0.1585283459246975</v>
      </c>
      <c r="Y21" s="61">
        <f t="shared" si="9"/>
        <v>0.17676433121019108</v>
      </c>
      <c r="Z21" s="61">
        <f t="shared" si="9"/>
        <v>0.19896472225847145</v>
      </c>
      <c r="AA21" s="61">
        <f t="shared" si="9"/>
        <v>0.20582954905481043</v>
      </c>
      <c r="AD21" s="18" t="s">
        <v>165</v>
      </c>
      <c r="AE21" s="19" t="s">
        <v>166</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D22" s="66">
        <f>(-1*V98)/AD101</f>
        <v>0</v>
      </c>
      <c r="AE22" s="67">
        <f>V107/AD101</f>
        <v>4.0370820438677846E-2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59">
        <v>877400000</v>
      </c>
      <c r="X28" s="59">
        <v>1204000000</v>
      </c>
      <c r="Y28" s="59">
        <v>1736000000</v>
      </c>
      <c r="Z28" s="59">
        <v>2344000000</v>
      </c>
      <c r="AA28" s="59">
        <v>3655000000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0.82033195020746885</v>
      </c>
      <c r="X29" s="16">
        <f t="shared" ref="X29" si="12">(X28/W28)-1</f>
        <v>0.37223615226806483</v>
      </c>
      <c r="Y29" s="16">
        <f t="shared" ref="Y29" si="13">(Y28/X28)-1</f>
        <v>0.44186046511627897</v>
      </c>
      <c r="Z29" s="16">
        <f t="shared" ref="Z29" si="14">(Z28/Y28)-1</f>
        <v>0.35023041474654382</v>
      </c>
      <c r="AA29" s="16">
        <f t="shared" ref="AA29" si="15">(AA28/Z28)-1</f>
        <v>0.5593003412969284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58">
        <f t="shared" ref="W30:AA30" si="16">W28/W3</f>
        <v>6.681388973499848E-2</v>
      </c>
      <c r="X30" s="58">
        <f t="shared" si="16"/>
        <v>7.39512314968368E-2</v>
      </c>
      <c r="Y30" s="58">
        <f t="shared" si="16"/>
        <v>8.8458598726114654E-2</v>
      </c>
      <c r="Z30" s="58">
        <f t="shared" si="16"/>
        <v>0.10196180782113184</v>
      </c>
      <c r="AA30" s="58">
        <f t="shared" si="16"/>
        <v>0.12866546977857571</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60">
        <v>17.48</v>
      </c>
      <c r="X31" s="60">
        <v>23.99</v>
      </c>
      <c r="Y31" s="60">
        <v>34.58</v>
      </c>
      <c r="Z31" s="60">
        <v>46.69</v>
      </c>
      <c r="AA31" s="60">
        <v>72.8</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70" t="s">
        <v>125</v>
      </c>
      <c r="AD83" s="71"/>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72" t="s">
        <v>126</v>
      </c>
      <c r="AD84" s="73"/>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23" t="s">
        <v>127</v>
      </c>
      <c r="AD85" s="24">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23" t="s">
        <v>128</v>
      </c>
      <c r="AD86" s="24">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129</v>
      </c>
      <c r="AD87" s="24">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1" t="s">
        <v>130</v>
      </c>
      <c r="AD88" s="32">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23" t="s">
        <v>105</v>
      </c>
      <c r="AD89" s="24">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23" t="s">
        <v>19</v>
      </c>
      <c r="AD90" s="24">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1" t="s">
        <v>131</v>
      </c>
      <c r="AD91" s="32">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3" t="s">
        <v>132</v>
      </c>
      <c r="AD92" s="34">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72" t="s">
        <v>133</v>
      </c>
      <c r="AD93" s="73"/>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134</v>
      </c>
      <c r="AD94" s="35">
        <f>[1]Treasuries!$C$8</f>
        <v>3.739E-2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23" t="s">
        <v>135</v>
      </c>
      <c r="AD95" s="36" cm="1">
        <f t="array" ref="AD95">_FV(A1,"Beta")</f>
        <v>1.5692999999999999</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23" t="s">
        <v>136</v>
      </c>
      <c r="AD96" s="35">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33" t="s">
        <v>137</v>
      </c>
      <c r="AD97" s="34">
        <f>(AD94)+((AD95)*(AD96-AD94))</f>
        <v>0.11053507300000001</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AC98" s="72" t="s">
        <v>138</v>
      </c>
      <c r="AD98" s="73"/>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139</v>
      </c>
      <c r="AD99" s="24">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1" t="s">
        <v>140</v>
      </c>
      <c r="AD100" s="32">
        <f>AD99/AD103</f>
        <v>1.0540670518403352E-2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141</v>
      </c>
      <c r="AD101" s="37" cm="1">
        <f t="array" ref="AD101">_FV(A1,"Market cap",TRUE)</f>
        <v>61579130000</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1" t="s">
        <v>142</v>
      </c>
      <c r="AD102" s="32">
        <f>AD101/AD103</f>
        <v>0.98945932948159665</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3" t="s">
        <v>143</v>
      </c>
      <c r="AD103" s="38">
        <f>AD99+AD101</f>
        <v>62235130000</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72" t="s">
        <v>144</v>
      </c>
      <c r="AD104" s="73"/>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39">
        <f>V105*(1+$AD$106)</f>
        <v>3340738764.2721925</v>
      </c>
      <c r="X105" s="39">
        <f t="shared" ref="X105:AA105" si="22">W105*(1+$AD$106)</f>
        <v>4074736275.9323201</v>
      </c>
      <c r="Y105" s="39">
        <f t="shared" si="22"/>
        <v>4970001215.289875</v>
      </c>
      <c r="Z105" s="39">
        <f t="shared" si="22"/>
        <v>6061965832.2135572</v>
      </c>
      <c r="AA105" s="39">
        <f t="shared" si="22"/>
        <v>7393847236.4702053</v>
      </c>
      <c r="AB105" s="40" t="s">
        <v>163</v>
      </c>
      <c r="AC105" s="25" t="s">
        <v>107</v>
      </c>
      <c r="AD105" s="26">
        <f>(AD100*AD92)+(AD102*AD97)</f>
        <v>0.11255725131911878</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65">
        <v>303200000</v>
      </c>
      <c r="X106" s="65">
        <v>537500000</v>
      </c>
      <c r="Y106" s="65">
        <v>857300000</v>
      </c>
      <c r="Z106" s="65">
        <v>1101000000</v>
      </c>
      <c r="AA106" s="65">
        <v>1329000000</v>
      </c>
      <c r="AB106" s="40" t="s">
        <v>164</v>
      </c>
      <c r="AC106" s="41" t="s">
        <v>145</v>
      </c>
      <c r="AD106" s="42">
        <f>(SUM(W4:AA4)/5)</f>
        <v>0.21971113680301047</v>
      </c>
    </row>
    <row r="107" spans="1:30" ht="19" x14ac:dyDescent="0.25">
      <c r="A107" s="6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40"/>
      <c r="X107" s="40"/>
      <c r="Y107" s="40"/>
      <c r="Z107" s="40"/>
      <c r="AA107" s="43">
        <f>AA105*(1+AD107)/(AD108-AD107)</f>
        <v>86557004739.21907</v>
      </c>
      <c r="AB107" s="44" t="s">
        <v>146</v>
      </c>
      <c r="AC107" s="45" t="s">
        <v>147</v>
      </c>
      <c r="AD107" s="46">
        <v>2.5000000000000001E-2</v>
      </c>
    </row>
    <row r="108" spans="1:30" ht="19" x14ac:dyDescent="0.25">
      <c r="W108" s="43">
        <f t="shared" ref="W108:Z108" si="24">W107+W105</f>
        <v>3340738764.2721925</v>
      </c>
      <c r="X108" s="43">
        <f t="shared" si="24"/>
        <v>4074736275.9323201</v>
      </c>
      <c r="Y108" s="43">
        <f t="shared" si="24"/>
        <v>4970001215.289875</v>
      </c>
      <c r="Z108" s="43">
        <f t="shared" si="24"/>
        <v>6061965832.2135572</v>
      </c>
      <c r="AA108" s="43">
        <f>AA107+AA105</f>
        <v>93950851975.68927</v>
      </c>
      <c r="AB108" s="44" t="s">
        <v>143</v>
      </c>
      <c r="AC108" s="47" t="s">
        <v>148</v>
      </c>
      <c r="AD108" s="48">
        <f>AD105</f>
        <v>0.11255725131911878</v>
      </c>
    </row>
    <row r="109" spans="1:30" ht="19" x14ac:dyDescent="0.25">
      <c r="W109" s="68" t="s">
        <v>149</v>
      </c>
      <c r="X109" s="69"/>
    </row>
    <row r="110" spans="1:30" ht="20" x14ac:dyDescent="0.25">
      <c r="W110" s="49" t="s">
        <v>150</v>
      </c>
      <c r="X110" s="37">
        <f>NPV(AD108,W108,X108,Y108,Z108,AA108)</f>
        <v>68977776050.202393</v>
      </c>
    </row>
    <row r="111" spans="1:30" ht="20" x14ac:dyDescent="0.25">
      <c r="W111" s="49" t="s">
        <v>151</v>
      </c>
      <c r="X111" s="37">
        <f>V40</f>
        <v>4249000000</v>
      </c>
    </row>
    <row r="112" spans="1:30" ht="20" x14ac:dyDescent="0.25">
      <c r="W112" s="49" t="s">
        <v>139</v>
      </c>
      <c r="X112" s="37">
        <f>AD99</f>
        <v>656000000</v>
      </c>
    </row>
    <row r="113" spans="23:24" ht="20" x14ac:dyDescent="0.25">
      <c r="W113" s="49" t="s">
        <v>152</v>
      </c>
      <c r="X113" s="37">
        <f>X110+X111-X112</f>
        <v>72570776050.202393</v>
      </c>
    </row>
    <row r="114" spans="23:24" ht="20" x14ac:dyDescent="0.25">
      <c r="W114" s="49" t="s">
        <v>153</v>
      </c>
      <c r="X114" s="50">
        <f>V34*(1+(5*AB16))</f>
        <v>55576462.481717423</v>
      </c>
    </row>
    <row r="115" spans="23:24" ht="20" x14ac:dyDescent="0.25">
      <c r="W115" s="51" t="s">
        <v>154</v>
      </c>
      <c r="X115" s="52">
        <f>X113/X114</f>
        <v>1305.7825707074369</v>
      </c>
    </row>
    <row r="116" spans="23:24" ht="20" x14ac:dyDescent="0.25">
      <c r="W116" s="49" t="s">
        <v>155</v>
      </c>
      <c r="X116" s="53" cm="1">
        <f t="array" ref="X116">_FV(A1,"Price")</f>
        <v>1226.49</v>
      </c>
    </row>
    <row r="117" spans="23:24" ht="20" x14ac:dyDescent="0.25">
      <c r="W117" s="54" t="s">
        <v>156</v>
      </c>
      <c r="X117" s="55">
        <f>X115/X116-1</f>
        <v>6.4649993646451964E-2</v>
      </c>
    </row>
    <row r="118" spans="23:24" ht="20" x14ac:dyDescent="0.25">
      <c r="W118" s="54" t="s">
        <v>157</v>
      </c>
      <c r="X118" s="56"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2023-06-26T11:22:35Z</dcterms:modified>
</cp:coreProperties>
</file>