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growth/"/>
    </mc:Choice>
  </mc:AlternateContent>
  <xr:revisionPtr revIDLastSave="0" documentId="8_{853B7EAD-64E0-D84B-B378-C70E5DE4A2DE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 1" sheetId="1" r:id="rId1"/>
  </sheets>
  <externalReferences>
    <externalReference r:id="rId2"/>
  </externalReferences>
  <definedNames>
    <definedName name="_xlchart.v1.0" hidden="1">'Sheet 1'!$A$106</definedName>
    <definedName name="_xlchart.v1.1" hidden="1">'Sheet 1'!$A$19</definedName>
    <definedName name="_xlchart.v1.10" hidden="1">'Sheet 1'!$B$3:$G$3</definedName>
    <definedName name="_xlchart.v1.2" hidden="1">'Sheet 1'!$B$106:$G$106</definedName>
    <definedName name="_xlchart.v1.3" hidden="1">'Sheet 1'!$B$19:$G$19</definedName>
    <definedName name="_xlchart.v1.4" hidden="1">'Sheet 1'!$B$3:$G$3</definedName>
    <definedName name="_xlchart.v1.5" hidden="1">'Sheet 1'!$A$106</definedName>
    <definedName name="_xlchart.v1.6" hidden="1">'Sheet 1'!$A$19</definedName>
    <definedName name="_xlchart.v1.7" hidden="1">'Sheet 1'!$A$3</definedName>
    <definedName name="_xlchart.v1.8" hidden="1">'Sheet 1'!$B$106:$G$106</definedName>
    <definedName name="_xlchart.v1.9" hidden="1">'Sheet 1'!$B$19:$G$19</definedName>
    <definedName name="_xlchart.v2.11" hidden="1">'Sheet 1'!$A$106</definedName>
    <definedName name="_xlchart.v2.12" hidden="1">'Sheet 1'!$A$19</definedName>
    <definedName name="_xlchart.v2.13" hidden="1">'Sheet 1'!$A$3</definedName>
    <definedName name="_xlchart.v2.14" hidden="1">'Sheet 1'!$B$106:$G$106</definedName>
    <definedName name="_xlchart.v2.15" hidden="1">'Sheet 1'!$B$19:$G$19</definedName>
    <definedName name="_xlchart.v2.16" hidden="1">'Sheet 1'!$B$3:$G$3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8" i="1" l="1"/>
  <c r="O106" i="1"/>
  <c r="I111" i="1"/>
  <c r="N21" i="1"/>
  <c r="N20" i="1"/>
  <c r="N32" i="1"/>
  <c r="N25" i="1"/>
  <c r="N24" i="1"/>
  <c r="N22" i="1"/>
  <c r="N34" i="1"/>
  <c r="I112" i="1" s="1"/>
  <c r="D35" i="1"/>
  <c r="M16" i="1" s="1"/>
  <c r="E35" i="1"/>
  <c r="F35" i="1"/>
  <c r="G35" i="1"/>
  <c r="C35" i="1"/>
  <c r="P13" i="1"/>
  <c r="O13" i="1"/>
  <c r="N13" i="1"/>
  <c r="M13" i="1"/>
  <c r="P7" i="1"/>
  <c r="O7" i="1"/>
  <c r="N7" i="1"/>
  <c r="M7" i="1"/>
  <c r="J4" i="1"/>
  <c r="I4" i="1"/>
  <c r="H4" i="1"/>
  <c r="H106" i="1" s="1"/>
  <c r="I106" i="1" s="1"/>
  <c r="J106" i="1" s="1"/>
  <c r="K106" i="1" s="1"/>
  <c r="L106" i="1" s="1"/>
  <c r="G105" i="1"/>
  <c r="F105" i="1"/>
  <c r="E105" i="1"/>
  <c r="D105" i="1"/>
  <c r="C105" i="1"/>
  <c r="G89" i="1"/>
  <c r="F89" i="1"/>
  <c r="E89" i="1"/>
  <c r="D89" i="1"/>
  <c r="C89" i="1"/>
  <c r="B89" i="1"/>
  <c r="G80" i="1"/>
  <c r="F80" i="1"/>
  <c r="E80" i="1"/>
  <c r="D80" i="1"/>
  <c r="C80" i="1"/>
  <c r="B80" i="1"/>
  <c r="G29" i="1"/>
  <c r="F29" i="1"/>
  <c r="E29" i="1"/>
  <c r="D29" i="1"/>
  <c r="C29" i="1"/>
  <c r="G20" i="1"/>
  <c r="F20" i="1"/>
  <c r="E20" i="1"/>
  <c r="D20" i="1"/>
  <c r="C20" i="1"/>
  <c r="G13" i="1"/>
  <c r="F13" i="1"/>
  <c r="E13" i="1"/>
  <c r="D13" i="1"/>
  <c r="C13" i="1"/>
  <c r="B13" i="1"/>
  <c r="G9" i="1"/>
  <c r="F9" i="1"/>
  <c r="E9" i="1"/>
  <c r="D9" i="1"/>
  <c r="C9" i="1"/>
  <c r="B9" i="1"/>
  <c r="J108" i="1" l="1"/>
  <c r="H108" i="1"/>
  <c r="P10" i="1"/>
  <c r="K108" i="1"/>
  <c r="I108" i="1"/>
  <c r="M10" i="1"/>
  <c r="N23" i="1"/>
  <c r="N4" i="1"/>
  <c r="N10" i="1"/>
  <c r="O4" i="1"/>
  <c r="O10" i="1"/>
  <c r="P4" i="1"/>
  <c r="N26" i="1"/>
  <c r="N27" i="1" s="1"/>
  <c r="N38" i="1"/>
  <c r="N37" i="1" s="1"/>
  <c r="G4" i="1"/>
  <c r="F4" i="1"/>
  <c r="E4" i="1"/>
  <c r="D4" i="1"/>
  <c r="C4" i="1"/>
  <c r="N35" i="1" l="1"/>
  <c r="N40" i="1" s="1"/>
  <c r="O108" i="1" s="1"/>
  <c r="L107" i="1" s="1"/>
  <c r="M4" i="1"/>
  <c r="I110" i="1" l="1"/>
  <c r="I113" i="1" s="1"/>
  <c r="I115" i="1" s="1"/>
  <c r="I118" i="1" l="1"/>
  <c r="I117" i="1"/>
</calcChain>
</file>

<file path=xl/sharedStrings.xml><?xml version="1.0" encoding="utf-8"?>
<sst xmlns="http://schemas.openxmlformats.org/spreadsheetml/2006/main" count="305" uniqueCount="158">
  <si>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</si>
  <si>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</si>
  <si>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</si>
  <si>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</si>
  <si>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</si>
  <si>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</si>
  <si>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</si>
  <si>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</si>
  <si>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</si>
  <si>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</si>
  <si>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</si>
  <si>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</si>
  <si>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</si>
  <si>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</si>
  <si>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</si>
  <si>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</si>
  <si>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</si>
  <si>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</si>
  <si>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</si>
  <si>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</si>
  <si>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</si>
  <si>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</si>
  <si>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</si>
  <si>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</si>
  <si>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</si>
  <si>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</si>
  <si>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</si>
  <si>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</si>
  <si>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</si>
  <si>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</si>
  <si>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</si>
  <si>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</si>
  <si>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</si>
  <si>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</si>
  <si>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</si>
  <si>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</si>
  <si>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</si>
  <si>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</si>
  <si>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</si>
  <si>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</si>
  <si>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</si>
  <si>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</si>
  <si>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</si>
  <si>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</si>
  <si>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</si>
  <si>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</si>
  <si>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</si>
  <si>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</si>
  <si>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</si>
  <si>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</si>
  <si>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</si>
  <si>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</si>
  <si>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</si>
  <si>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</si>
  <si>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</si>
  <si>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</si>
  <si>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</si>
  <si>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</si>
  <si>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</si>
  <si>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</si>
  <si>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</si>
  <si>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</si>
  <si>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</si>
  <si>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</si>
  <si>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</si>
  <si>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</si>
  <si>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</si>
  <si>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</si>
  <si>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</si>
  <si>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</si>
  <si>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</si>
  <si>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</si>
  <si>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</si>
  <si>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</si>
  <si>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</si>
  <si>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</si>
  <si>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</si>
  <si>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</si>
  <si>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</si>
  <si>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</si>
  <si>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</si>
  <si>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</si>
  <si>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</si>
  <si>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</si>
  <si>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</si>
  <si>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</si>
  <si>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</si>
  <si>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</si>
  <si>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</si>
  <si>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</si>
  <si>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</si>
  <si>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</si>
  <si>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link</t>
  </si>
  <si>
    <t>- -</t>
  </si>
  <si>
    <t>Airbnb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</si>
  <si>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</si>
  <si>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</si>
  <si>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</si>
  <si>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</si>
  <si>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</si>
  <si>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</si>
  <si>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</si>
  <si>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</si>
  <si>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</si>
  <si>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</si>
  <si>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</si>
  <si>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</si>
  <si>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</si>
  <si>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</si>
  <si>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</si>
  <si>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</si>
  <si>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</si>
  <si>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</si>
  <si>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</si>
  <si>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</si>
  <si>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</si>
  <si>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</si>
  <si>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</si>
  <si>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</si>
  <si>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</si>
  <si>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</si>
  <si>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YoY</t>
  </si>
  <si>
    <t>Share Dilution (5yr)</t>
  </si>
  <si>
    <t>WACC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</si>
  <si>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</si>
  <si>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</si>
  <si>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</si>
  <si>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</si>
  <si>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</si>
  <si>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</si>
  <si>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</si>
  <si>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</si>
  <si>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</si>
  <si>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</si>
  <si>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</si>
  <si>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</si>
  <si>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</si>
  <si>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</si>
  <si>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</si>
  <si>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</si>
  <si>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</si>
  <si>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</si>
  <si>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FCF Growth Rate</t>
  </si>
  <si>
    <t>Perpetual Growth Rate</t>
  </si>
  <si>
    <t>Terminal Value</t>
  </si>
  <si>
    <t>Assumptions</t>
  </si>
  <si>
    <t>Enterprise Value</t>
  </si>
  <si>
    <t>Equity Value</t>
  </si>
  <si>
    <t>Intrinsic Value</t>
  </si>
  <si>
    <t>Current Price</t>
  </si>
  <si>
    <t>Upside/Downside</t>
  </si>
  <si>
    <t>Buy/Sell</t>
  </si>
  <si>
    <t>Cash + Securities</t>
  </si>
  <si>
    <t>Shares</t>
  </si>
  <si>
    <t>Proj. Free Cash Flow</t>
  </si>
  <si>
    <t>Discount Rate (WACC)</t>
  </si>
  <si>
    <t>Discounted Cash Flow Valuation</t>
  </si>
  <si>
    <t>Weighted Average Cost of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</si>
</sst>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b/>
      <i/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rgb="FF000000"/>
      <name val="Calibri"/>
      <family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4" xfId="0" applyFont="1" applyBorder="1"/>
    <xf numFmtId="164" fontId="10" fillId="0" borderId="0" xfId="0" applyNumberFormat="1" applyFont="1"/>
    <xf numFmtId="9" fontId="10" fillId="0" borderId="0" xfId="0" applyNumberFormat="1" applyFont="1"/>
    <xf numFmtId="0" fontId="11" fillId="0" borderId="0" xfId="0" applyFont="1" applyAlignment="1">
      <alignment indent="1"/>
    </xf>
    <xf numFmtId="9" fontId="1" fillId="0" borderId="0" xfId="0" applyNumberFormat="1" applyFont="1"/>
    <xf numFmtId="9" fontId="12" fillId="0" borderId="5" xfId="0" applyNumberFormat="1" applyFont="1" applyBorder="1" applyAlignment="1">
      <alignment horizontal="center"/>
    </xf>
    <xf numFmtId="9" fontId="12" fillId="0" borderId="6" xfId="0" applyNumberFormat="1" applyFont="1" applyBorder="1" applyAlignment="1">
      <alignment horizontal="center"/>
    </xf>
    <xf numFmtId="9" fontId="12" fillId="0" borderId="7" xfId="0" applyNumberFormat="1" applyFont="1" applyBorder="1" applyAlignment="1">
      <alignment horizontal="center"/>
    </xf>
    <xf numFmtId="9" fontId="1" fillId="0" borderId="0" xfId="0" applyNumberFormat="1" applyFont="1" applyBorder="1"/>
    <xf numFmtId="9" fontId="10" fillId="0" borderId="0" xfId="0" applyNumberFormat="1" applyFont="1" applyBorder="1"/>
    <xf numFmtId="0" fontId="0" fillId="0" borderId="0" xfId="0" applyBorder="1"/>
    <xf numFmtId="9" fontId="12" fillId="0" borderId="0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/>
    </xf>
    <xf numFmtId="9" fontId="12" fillId="0" borderId="9" xfId="0" applyNumberFormat="1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left" vertical="center" wrapText="1"/>
    </xf>
    <xf numFmtId="164" fontId="12" fillId="0" borderId="12" xfId="0" applyNumberFormat="1" applyFont="1" applyBorder="1"/>
    <xf numFmtId="10" fontId="12" fillId="0" borderId="12" xfId="0" applyNumberFormat="1" applyFont="1" applyBorder="1"/>
    <xf numFmtId="37" fontId="1" fillId="0" borderId="0" xfId="0" applyNumberFormat="1" applyFont="1"/>
    <xf numFmtId="10" fontId="1" fillId="0" borderId="0" xfId="0" applyNumberFormat="1" applyFont="1"/>
    <xf numFmtId="0" fontId="14" fillId="3" borderId="5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10" fontId="13" fillId="0" borderId="12" xfId="0" applyNumberFormat="1" applyFont="1" applyBorder="1"/>
    <xf numFmtId="0" fontId="13" fillId="0" borderId="8" xfId="0" applyFont="1" applyBorder="1" applyAlignment="1">
      <alignment horizontal="left" vertical="center" wrapText="1"/>
    </xf>
    <xf numFmtId="10" fontId="13" fillId="0" borderId="10" xfId="0" applyNumberFormat="1" applyFont="1" applyBorder="1"/>
    <xf numFmtId="39" fontId="12" fillId="0" borderId="12" xfId="0" applyNumberFormat="1" applyFont="1" applyBorder="1"/>
    <xf numFmtId="164" fontId="1" fillId="0" borderId="12" xfId="0" applyNumberFormat="1" applyFont="1" applyBorder="1"/>
    <xf numFmtId="164" fontId="13" fillId="0" borderId="10" xfId="0" applyNumberFormat="1" applyFont="1" applyBorder="1"/>
    <xf numFmtId="0" fontId="13" fillId="3" borderId="8" xfId="0" applyFont="1" applyFill="1" applyBorder="1" applyAlignment="1">
      <alignment horizontal="left" vertical="center" wrapText="1"/>
    </xf>
    <xf numFmtId="10" fontId="13" fillId="3" borderId="10" xfId="0" applyNumberFormat="1" applyFont="1" applyFill="1" applyBorder="1"/>
    <xf numFmtId="9" fontId="16" fillId="5" borderId="11" xfId="0" applyNumberFormat="1" applyFont="1" applyFill="1" applyBorder="1" applyAlignment="1">
      <alignment wrapText="1"/>
    </xf>
    <xf numFmtId="0" fontId="16" fillId="5" borderId="8" xfId="0" applyFont="1" applyFill="1" applyBorder="1"/>
    <xf numFmtId="9" fontId="1" fillId="3" borderId="13" xfId="0" applyNumberFormat="1" applyFont="1" applyFill="1" applyBorder="1" applyAlignment="1">
      <alignment horizontal="center"/>
    </xf>
    <xf numFmtId="9" fontId="1" fillId="3" borderId="14" xfId="0" applyNumberFormat="1" applyFont="1" applyFill="1" applyBorder="1" applyAlignment="1">
      <alignment horizontal="center"/>
    </xf>
    <xf numFmtId="0" fontId="0" fillId="5" borderId="0" xfId="0" applyFill="1"/>
    <xf numFmtId="0" fontId="1" fillId="3" borderId="13" xfId="0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wrapText="1"/>
    </xf>
    <xf numFmtId="164" fontId="1" fillId="3" borderId="11" xfId="0" applyNumberFormat="1" applyFont="1" applyFill="1" applyBorder="1" applyAlignment="1">
      <alignment wrapText="1"/>
    </xf>
    <xf numFmtId="164" fontId="1" fillId="3" borderId="8" xfId="0" applyNumberFormat="1" applyFont="1" applyFill="1" applyBorder="1" applyAlignment="1">
      <alignment wrapText="1"/>
    </xf>
    <xf numFmtId="0" fontId="1" fillId="3" borderId="14" xfId="0" applyFont="1" applyFill="1" applyBorder="1" applyAlignment="1">
      <alignment horizontal="center"/>
    </xf>
    <xf numFmtId="167" fontId="1" fillId="3" borderId="12" xfId="0" applyNumberFormat="1" applyFont="1" applyFill="1" applyBorder="1"/>
    <xf numFmtId="0" fontId="1" fillId="3" borderId="10" xfId="0" applyFont="1" applyFill="1" applyBorder="1" applyAlignment="1">
      <alignment horizontal="right"/>
    </xf>
    <xf numFmtId="164" fontId="1" fillId="6" borderId="11" xfId="0" applyNumberFormat="1" applyFont="1" applyFill="1" applyBorder="1" applyAlignment="1">
      <alignment wrapText="1"/>
    </xf>
    <xf numFmtId="9" fontId="1" fillId="3" borderId="10" xfId="1" applyNumberFormat="1" applyFont="1" applyFill="1" applyBorder="1"/>
    <xf numFmtId="164" fontId="1" fillId="6" borderId="12" xfId="0" applyNumberFormat="1" applyFont="1" applyFill="1" applyBorder="1"/>
    <xf numFmtId="167" fontId="1" fillId="6" borderId="12" xfId="0" applyNumberFormat="1" applyFont="1" applyFill="1" applyBorder="1"/>
    <xf numFmtId="164" fontId="1" fillId="5" borderId="12" xfId="0" applyNumberFormat="1" applyFont="1" applyFill="1" applyBorder="1"/>
    <xf numFmtId="0" fontId="16" fillId="6" borderId="11" xfId="0" applyFont="1" applyFill="1" applyBorder="1" applyAlignment="1">
      <alignment wrapText="1"/>
    </xf>
    <xf numFmtId="10" fontId="1" fillId="6" borderId="12" xfId="0" applyNumberFormat="1" applyFont="1" applyFill="1" applyBorder="1" applyAlignment="1">
      <alignment horizontal="right" vertical="center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0" fillId="5" borderId="0" xfId="0" applyNumberFormat="1" applyFont="1" applyFill="1"/>
    <xf numFmtId="0" fontId="0" fillId="0" borderId="0" xfId="0" applyAlignment="1">
      <alignment vertical="center"/>
    </xf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10" fontId="1" fillId="5" borderId="12" xfId="0" applyNumberFormat="1" applyFont="1" applyFill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ABNB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94314381270907E-2"/>
          <c:y val="0.14431654676258993"/>
          <c:w val="0.85821070234113728"/>
          <c:h val="0.690527011461696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1'!$B$3:$G$3</c:f>
              <c:numCache>
                <c:formatCode>#,###,,;\(#,###,,\);\ \-\ \-</c:formatCode>
                <c:ptCount val="6"/>
                <c:pt idx="0">
                  <c:v>2561721000</c:v>
                </c:pt>
                <c:pt idx="1">
                  <c:v>3651985000</c:v>
                </c:pt>
                <c:pt idx="2">
                  <c:v>4805239000</c:v>
                </c:pt>
                <c:pt idx="3">
                  <c:v>3378199000</c:v>
                </c:pt>
                <c:pt idx="4">
                  <c:v>5991760000</c:v>
                </c:pt>
                <c:pt idx="5">
                  <c:v>8399000000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5-E441-9589-5796F7243A58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1'!$B$19:$G$19</c:f>
              <c:numCache>
                <c:formatCode>#,###,,;\(#,###,,\);\ \-\ \-</c:formatCode>
                <c:ptCount val="6"/>
                <c:pt idx="0">
                  <c:v>36646000</c:v>
                </c:pt>
                <c:pt idx="1">
                  <c:v>155577000</c:v>
                </c:pt>
                <c:pt idx="2">
                  <c:v>-287573000</c:v>
                </c:pt>
                <c:pt idx="3">
                  <c:v>-4384374000</c:v>
                </c:pt>
                <c:pt idx="4">
                  <c:v>275711000</c:v>
                </c:pt>
                <c:pt idx="5">
                  <c:v>2094000000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5-E441-9589-5796F7243A58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1'!$B$106:$G$106</c:f>
              <c:numCache>
                <c:formatCode>#,###,,;\(#,###,,\);\ \-\ \-</c:formatCode>
                <c:ptCount val="6"/>
                <c:pt idx="0">
                  <c:v>151021000</c:v>
                </c:pt>
                <c:pt idx="1">
                  <c:v>504933000</c:v>
                </c:pt>
                <c:pt idx="2">
                  <c:v>97275000</c:v>
                </c:pt>
                <c:pt idx="3">
                  <c:v>-667103000</c:v>
                </c:pt>
                <c:pt idx="4">
                  <c:v>2164372000</c:v>
                </c:pt>
                <c:pt idx="5">
                  <c:v>3405000000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5-E441-9589-5796F7243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9251248"/>
        <c:axId val="808933104"/>
      </c:barChart>
      <c:catAx>
        <c:axId val="80925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33104"/>
        <c:crosses val="autoZero"/>
        <c:auto val="1"/>
        <c:lblAlgn val="ctr"/>
        <c:lblOffset val="100"/>
        <c:noMultiLvlLbl val="0"/>
      </c:catAx>
      <c:valAx>
        <c:axId val="8089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20359202591312"/>
          <c:y val="0.89229215053154332"/>
          <c:w val="0.47299717120519252"/>
          <c:h val="5.448549022618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43</xdr:row>
      <xdr:rowOff>12700</xdr:rowOff>
    </xdr:from>
    <xdr:to>
      <xdr:col>16</xdr:col>
      <xdr:colOff>812800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F34882-052D-33E8-7D67-B51B0FC63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SL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3">
          <cell r="A3" t="str">
            <v>Revenue</v>
          </cell>
          <cell r="B3">
            <v>73000</v>
          </cell>
          <cell r="C3">
            <v>14742000</v>
          </cell>
          <cell r="D3">
            <v>111943000</v>
          </cell>
          <cell r="E3">
            <v>116744000</v>
          </cell>
          <cell r="F3">
            <v>204242000</v>
          </cell>
          <cell r="G3">
            <v>413256000</v>
          </cell>
          <cell r="H3">
            <v>2013496000</v>
          </cell>
          <cell r="I3">
            <v>3198356000</v>
          </cell>
          <cell r="J3">
            <v>4046025000</v>
          </cell>
          <cell r="K3">
            <v>7000132000</v>
          </cell>
          <cell r="L3">
            <v>11758751000</v>
          </cell>
          <cell r="M3">
            <v>21461268000</v>
          </cell>
          <cell r="N3">
            <v>24578000000</v>
          </cell>
          <cell r="O3">
            <v>31536000000</v>
          </cell>
          <cell r="P3">
            <v>53823000000</v>
          </cell>
          <cell r="Q3">
            <v>81462000000</v>
          </cell>
        </row>
        <row r="19">
          <cell r="A19" t="str">
            <v>EBITDA</v>
          </cell>
          <cell r="B19">
            <v>-73403000</v>
          </cell>
          <cell r="C19">
            <v>-74781000</v>
          </cell>
          <cell r="D19">
            <v>-46243000</v>
          </cell>
          <cell r="E19">
            <v>-142540000</v>
          </cell>
          <cell r="F19">
            <v>-236960000</v>
          </cell>
          <cell r="G19">
            <v>-366998000</v>
          </cell>
          <cell r="H19">
            <v>67591000</v>
          </cell>
          <cell r="I19">
            <v>48181000</v>
          </cell>
          <cell r="J19">
            <v>-334183000</v>
          </cell>
          <cell r="K19">
            <v>497693000</v>
          </cell>
          <cell r="L19">
            <v>177408000</v>
          </cell>
          <cell r="M19">
            <v>1645867000</v>
          </cell>
          <cell r="N19">
            <v>2087000000</v>
          </cell>
          <cell r="O19">
            <v>4052000000</v>
          </cell>
          <cell r="P19">
            <v>9500000000</v>
          </cell>
          <cell r="Q19">
            <v>17626000000</v>
          </cell>
        </row>
        <row r="105">
          <cell r="A105" t="str">
            <v>Free Cash Flow</v>
          </cell>
          <cell r="B105">
            <v>-63271000</v>
          </cell>
          <cell r="C105">
            <v>-62042000</v>
          </cell>
          <cell r="D105">
            <v>-92709000</v>
          </cell>
          <cell r="E105">
            <v>-168020000</v>
          </cell>
          <cell r="F105">
            <v>-312260000</v>
          </cell>
          <cell r="G105">
            <v>-505309000</v>
          </cell>
          <cell r="H105">
            <v>-6230000</v>
          </cell>
          <cell r="I105">
            <v>-1027222000</v>
          </cell>
          <cell r="J105">
            <v>-2159349000</v>
          </cell>
          <cell r="K105">
            <v>-1564300000</v>
          </cell>
          <cell r="L105">
            <v>-4142008000</v>
          </cell>
          <cell r="M105">
            <v>-221714000</v>
          </cell>
          <cell r="N105">
            <v>968000000</v>
          </cell>
          <cell r="O105">
            <v>2701000000</v>
          </cell>
          <cell r="P105">
            <v>3483000000</v>
          </cell>
          <cell r="Q105">
            <v>7561000000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59720/000155972021000010/0001559720-21-000010-index.htm" TargetMode="External"/><Relationship Id="rId13" Type="http://schemas.openxmlformats.org/officeDocument/2006/relationships/hyperlink" Target="https://www.sec.gov/Archives/edgar/data/1559720/000155972023000003/0001559720-23-000003-index.htm" TargetMode="External"/><Relationship Id="rId3" Type="http://schemas.openxmlformats.org/officeDocument/2006/relationships/hyperlink" Target="https://sec.gov/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59720/000155972023000003/0001559720-23-000003-index.htm" TargetMode="External"/><Relationship Id="rId2" Type="http://schemas.openxmlformats.org/officeDocument/2006/relationships/hyperlink" Target="https://sec.gov/" TargetMode="External"/><Relationship Id="rId1" Type="http://schemas.openxmlformats.org/officeDocument/2006/relationships/hyperlink" Target="https://roic.ai/company/ABNB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59720/000155972022000006/0001559720-22-000006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sec.gov/Archives/edgar/data/1559720/000155972022000006/0001559720-22-00000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59720/000155972021000010/0001559720-21-000010-index.htm" TargetMode="External"/><Relationship Id="rId14" Type="http://schemas.openxmlformats.org/officeDocument/2006/relationships/hyperlink" Target="https://finbox.com/NASDAQGS:ABNB/explorer/revenue_pro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8"/>
  <sheetViews>
    <sheetView tabSelected="1" zoomScale="90" zoomScaleNormal="90" workbookViewId="0">
      <pane xSplit="1" ySplit="1" topLeftCell="B2" activePane="bottomRight" state="frozen"/>
      <selection pane="topRight"/>
      <selection pane="bottomLeft"/>
      <selection pane="bottomRight" activeCell="P30" sqref="P30"/>
    </sheetView>
  </sheetViews>
  <sheetFormatPr baseColWidth="10" defaultRowHeight="16" x14ac:dyDescent="0.2"/>
  <cols>
    <col min="1" max="1" width="50" customWidth="1"/>
    <col min="2" max="7" width="15" customWidth="1"/>
    <col min="8" max="12" width="19" customWidth="1"/>
    <col min="13" max="16" width="21" customWidth="1"/>
  </cols>
  <sheetData>
    <row r="1" spans="1:40" ht="22" thickBot="1" x14ac:dyDescent="0.3">
      <c r="A1" s="3" t="s">
        <v>94</v>
      </c>
      <c r="B1" s="8">
        <v>2017</v>
      </c>
      <c r="C1" s="8">
        <v>2018</v>
      </c>
      <c r="D1" s="8">
        <v>2019</v>
      </c>
      <c r="E1" s="8">
        <v>2020</v>
      </c>
      <c r="F1" s="8">
        <v>2021</v>
      </c>
      <c r="G1" s="8">
        <v>2022</v>
      </c>
      <c r="H1" s="14">
        <v>2023</v>
      </c>
      <c r="I1" s="14">
        <v>2024</v>
      </c>
      <c r="J1" s="14">
        <v>2025</v>
      </c>
      <c r="K1" s="14">
        <v>2026</v>
      </c>
      <c r="L1" s="14">
        <v>2027</v>
      </c>
    </row>
    <row r="2" spans="1:40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/>
      <c r="L2" s="9"/>
      <c r="M2" s="9"/>
      <c r="N2" s="9"/>
      <c r="O2" s="9"/>
      <c r="P2" s="9"/>
    </row>
    <row r="3" spans="1:40" ht="36" customHeight="1" x14ac:dyDescent="0.25">
      <c r="A3" s="5" t="s">
        <v>1</v>
      </c>
      <c r="B3" s="1">
        <v>2561721000</v>
      </c>
      <c r="C3" s="1">
        <v>3651985000</v>
      </c>
      <c r="D3" s="1">
        <v>4805239000</v>
      </c>
      <c r="E3" s="1">
        <v>3378199000</v>
      </c>
      <c r="F3" s="1">
        <v>5991760000</v>
      </c>
      <c r="G3" s="1">
        <v>8399000000</v>
      </c>
      <c r="H3" s="15">
        <v>9600000000</v>
      </c>
      <c r="I3" s="15">
        <v>11050000000</v>
      </c>
      <c r="J3" s="15">
        <v>12900000000</v>
      </c>
      <c r="M3" s="26" t="s">
        <v>109</v>
      </c>
      <c r="N3" s="27" t="s">
        <v>110</v>
      </c>
      <c r="O3" s="27" t="s">
        <v>111</v>
      </c>
      <c r="P3" s="28" t="s">
        <v>112</v>
      </c>
    </row>
    <row r="4" spans="1:40" ht="19" x14ac:dyDescent="0.25">
      <c r="A4" s="17" t="s">
        <v>95</v>
      </c>
      <c r="B4" s="1"/>
      <c r="C4" s="18">
        <f>(C3/B3)-1</f>
        <v>0.42559825991979605</v>
      </c>
      <c r="D4" s="18">
        <f>(D3/C3)-1</f>
        <v>0.31578826309527552</v>
      </c>
      <c r="E4" s="18">
        <f>(E3/D3)-1</f>
        <v>-0.29697586321929048</v>
      </c>
      <c r="F4" s="18">
        <f t="shared" ref="F4:J4" si="0">(F3/E3)-1</f>
        <v>0.77365513399299446</v>
      </c>
      <c r="G4" s="18">
        <f t="shared" si="0"/>
        <v>0.40175841488978192</v>
      </c>
      <c r="H4" s="16">
        <f t="shared" si="0"/>
        <v>0.14299321347779492</v>
      </c>
      <c r="I4" s="16">
        <f t="shared" si="0"/>
        <v>0.15104166666666674</v>
      </c>
      <c r="J4" s="16">
        <f t="shared" si="0"/>
        <v>0.16742081447963808</v>
      </c>
      <c r="K4" s="22"/>
      <c r="L4" s="22"/>
      <c r="M4" s="19">
        <f>(G4+F4+E4)/3</f>
        <v>0.29281256188782862</v>
      </c>
      <c r="N4" s="20">
        <f>(G20+F20+E20)/3</f>
        <v>6.5927165252214168</v>
      </c>
      <c r="O4" s="20">
        <f>(G29+F29+E29)/3</f>
        <v>-0.50056919516481246</v>
      </c>
      <c r="P4" s="21">
        <f>(G105+F105+E105)/3</f>
        <v>-3.8430459680599771</v>
      </c>
      <c r="Q4" s="22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4"/>
      <c r="AH4" s="24"/>
      <c r="AI4" s="25"/>
      <c r="AJ4" s="25"/>
      <c r="AK4" s="25"/>
      <c r="AL4" s="25"/>
      <c r="AM4" s="24"/>
      <c r="AN4" s="24"/>
    </row>
    <row r="5" spans="1:40" ht="19" x14ac:dyDescent="0.25">
      <c r="A5" s="5" t="s">
        <v>2</v>
      </c>
      <c r="B5" s="1">
        <v>647690000</v>
      </c>
      <c r="C5" s="1">
        <v>864032000</v>
      </c>
      <c r="D5" s="1">
        <v>1196313000</v>
      </c>
      <c r="E5" s="1">
        <v>876042000</v>
      </c>
      <c r="F5" s="1">
        <v>1155833000</v>
      </c>
      <c r="G5" s="1">
        <v>1499000000</v>
      </c>
    </row>
    <row r="6" spans="1:40" ht="21" customHeight="1" x14ac:dyDescent="0.25">
      <c r="A6" s="6" t="s">
        <v>3</v>
      </c>
      <c r="B6" s="10">
        <v>1914031000</v>
      </c>
      <c r="C6" s="10">
        <v>2787953000</v>
      </c>
      <c r="D6" s="10">
        <v>3608926000</v>
      </c>
      <c r="E6" s="10">
        <v>2502157000</v>
      </c>
      <c r="F6" s="10">
        <v>4835927000</v>
      </c>
      <c r="G6" s="10">
        <v>6900000000</v>
      </c>
      <c r="M6" s="26" t="s">
        <v>113</v>
      </c>
      <c r="N6" s="27" t="s">
        <v>114</v>
      </c>
      <c r="O6" s="27" t="s">
        <v>115</v>
      </c>
      <c r="P6" s="28" t="s">
        <v>116</v>
      </c>
    </row>
    <row r="7" spans="1:40" ht="19" x14ac:dyDescent="0.25">
      <c r="A7" s="5" t="s">
        <v>4</v>
      </c>
      <c r="B7" s="2">
        <v>0.74719999999999998</v>
      </c>
      <c r="C7" s="2">
        <v>0.76339999999999997</v>
      </c>
      <c r="D7" s="2">
        <v>0.751</v>
      </c>
      <c r="E7" s="2">
        <v>0.74070000000000003</v>
      </c>
      <c r="F7" s="2">
        <v>0.80710000000000004</v>
      </c>
      <c r="G7" s="2">
        <v>0.82150000000000001</v>
      </c>
      <c r="M7" s="19">
        <f>G7</f>
        <v>0.82150000000000001</v>
      </c>
      <c r="N7" s="20">
        <f>G21</f>
        <v>0.24929999999999999</v>
      </c>
      <c r="O7" s="20">
        <f>G30</f>
        <v>0.22539999999999999</v>
      </c>
      <c r="P7" s="21">
        <f>G106/G3</f>
        <v>0.40540540540540543</v>
      </c>
    </row>
    <row r="8" spans="1:40" ht="19" x14ac:dyDescent="0.25">
      <c r="A8" s="5" t="s">
        <v>5</v>
      </c>
      <c r="B8" s="1">
        <v>400749000</v>
      </c>
      <c r="C8" s="1">
        <v>579193000</v>
      </c>
      <c r="D8" s="1">
        <v>976695000</v>
      </c>
      <c r="E8" s="1">
        <v>2752872000</v>
      </c>
      <c r="F8" s="1">
        <v>1425048000</v>
      </c>
      <c r="G8" s="1">
        <v>1502000000</v>
      </c>
    </row>
    <row r="9" spans="1:40" ht="19" customHeight="1" x14ac:dyDescent="0.25">
      <c r="A9" s="17" t="s">
        <v>96</v>
      </c>
      <c r="B9" s="18">
        <f>B8/B3</f>
        <v>0.15643741063136851</v>
      </c>
      <c r="C9" s="18">
        <f t="shared" ref="C9:G9" si="1">C8/C3</f>
        <v>0.15859676313018811</v>
      </c>
      <c r="D9" s="18">
        <f t="shared" si="1"/>
        <v>0.20325627924022094</v>
      </c>
      <c r="E9" s="18">
        <f t="shared" si="1"/>
        <v>0.81489337957888208</v>
      </c>
      <c r="F9" s="18">
        <f t="shared" si="1"/>
        <v>0.23783462622000881</v>
      </c>
      <c r="G9" s="18">
        <f t="shared" si="1"/>
        <v>0.17883081319204666</v>
      </c>
      <c r="H9" s="18"/>
      <c r="I9" s="18"/>
      <c r="J9" s="18"/>
      <c r="K9" s="18"/>
      <c r="L9" s="18"/>
      <c r="M9" s="26" t="s">
        <v>97</v>
      </c>
      <c r="N9" s="27" t="s">
        <v>98</v>
      </c>
      <c r="O9" s="27" t="s">
        <v>99</v>
      </c>
      <c r="P9" s="28" t="s">
        <v>100</v>
      </c>
      <c r="Q9" s="18"/>
    </row>
    <row r="10" spans="1:40" ht="19" x14ac:dyDescent="0.25">
      <c r="A10" s="5" t="s">
        <v>6</v>
      </c>
      <c r="B10" s="1">
        <v>327156000</v>
      </c>
      <c r="C10" s="1">
        <v>479487000</v>
      </c>
      <c r="D10" s="1">
        <v>697181000</v>
      </c>
      <c r="E10" s="1">
        <v>1134851000</v>
      </c>
      <c r="F10" s="1">
        <v>835324000</v>
      </c>
      <c r="G10" s="1">
        <v>950000000</v>
      </c>
      <c r="M10" s="19">
        <f>(G9+F9+E9)/3</f>
        <v>0.41051960633031248</v>
      </c>
      <c r="N10" s="20">
        <f>(G13+F13+E13)/3</f>
        <v>0.43828694165068605</v>
      </c>
      <c r="O10" s="20">
        <f>(G80+F80+E80)/3</f>
        <v>0.38312075768395881</v>
      </c>
      <c r="P10" s="21">
        <f>(G89+F89+E89)/3</f>
        <v>6.0883618081982701E-3</v>
      </c>
    </row>
    <row r="11" spans="1:40" ht="19" x14ac:dyDescent="0.25">
      <c r="A11" s="5" t="s">
        <v>7</v>
      </c>
      <c r="B11" s="1">
        <v>871749000</v>
      </c>
      <c r="C11" s="1">
        <v>1101327000</v>
      </c>
      <c r="D11" s="1">
        <v>1621519000</v>
      </c>
      <c r="E11" s="1">
        <v>1175325000</v>
      </c>
      <c r="F11" s="1">
        <v>1186332000</v>
      </c>
      <c r="G11" s="1">
        <v>1516000000</v>
      </c>
    </row>
    <row r="12" spans="1:40" ht="23" customHeight="1" x14ac:dyDescent="0.25">
      <c r="A12" s="5" t="s">
        <v>8</v>
      </c>
      <c r="B12" s="1">
        <v>1198905000</v>
      </c>
      <c r="C12" s="1">
        <v>1580814000</v>
      </c>
      <c r="D12" s="1">
        <v>2318700000</v>
      </c>
      <c r="E12" s="1">
        <v>2310176000</v>
      </c>
      <c r="F12" s="1">
        <v>2021656000</v>
      </c>
      <c r="G12" s="1">
        <v>2466000000</v>
      </c>
      <c r="M12" s="26" t="s">
        <v>117</v>
      </c>
      <c r="N12" s="27" t="s">
        <v>118</v>
      </c>
      <c r="O12" s="27" t="s">
        <v>119</v>
      </c>
      <c r="P12" s="28" t="s">
        <v>120</v>
      </c>
    </row>
    <row r="13" spans="1:40" ht="19" x14ac:dyDescent="0.25">
      <c r="A13" s="17" t="s">
        <v>101</v>
      </c>
      <c r="B13" s="18">
        <f>B12/B3</f>
        <v>0.46800764017627211</v>
      </c>
      <c r="C13" s="18">
        <f t="shared" ref="C13:G13" si="2">C12/C3</f>
        <v>0.43286431899364319</v>
      </c>
      <c r="D13" s="18">
        <f t="shared" si="2"/>
        <v>0.48253583224476454</v>
      </c>
      <c r="E13" s="18">
        <f t="shared" si="2"/>
        <v>0.68384840561494453</v>
      </c>
      <c r="F13" s="18">
        <f t="shared" si="2"/>
        <v>0.33740603762500498</v>
      </c>
      <c r="G13" s="18">
        <f t="shared" si="2"/>
        <v>0.29360638171210857</v>
      </c>
      <c r="H13" s="18"/>
      <c r="I13" s="18"/>
      <c r="J13" s="18"/>
      <c r="K13" s="18"/>
      <c r="L13" s="18"/>
      <c r="M13" s="29">
        <f>G28/G72</f>
        <v>0.34046762589928059</v>
      </c>
      <c r="N13" s="30">
        <f>G28/G54</f>
        <v>0.11803217358772915</v>
      </c>
      <c r="O13" s="30">
        <f>(G28-G98)/G73</f>
        <v>0.11803217358772915</v>
      </c>
      <c r="P13" s="31">
        <f>(G61+G56)/G72</f>
        <v>0.42104316546762588</v>
      </c>
      <c r="Q13" s="18"/>
    </row>
    <row r="14" spans="1:40" ht="19" x14ac:dyDescent="0.25">
      <c r="A14" s="5" t="s">
        <v>9</v>
      </c>
      <c r="B14" s="1">
        <v>395739000</v>
      </c>
      <c r="C14" s="1">
        <v>609202000</v>
      </c>
      <c r="D14" s="1">
        <v>815074000</v>
      </c>
      <c r="E14" s="1">
        <v>877901000</v>
      </c>
      <c r="F14" s="1">
        <v>847057000</v>
      </c>
      <c r="G14" s="1">
        <v>1041000000</v>
      </c>
    </row>
    <row r="15" spans="1:40" ht="20" customHeight="1" x14ac:dyDescent="0.25">
      <c r="A15" s="5" t="s">
        <v>10</v>
      </c>
      <c r="B15" s="1">
        <v>1995393000</v>
      </c>
      <c r="C15" s="1">
        <v>2769209000</v>
      </c>
      <c r="D15" s="1">
        <v>4110469000</v>
      </c>
      <c r="E15" s="1">
        <v>5940949000</v>
      </c>
      <c r="F15" s="1">
        <v>4293761000</v>
      </c>
      <c r="G15" s="1">
        <v>5009000000</v>
      </c>
      <c r="M15" s="26" t="s">
        <v>122</v>
      </c>
    </row>
    <row r="16" spans="1:40" ht="19" x14ac:dyDescent="0.25">
      <c r="A16" s="5" t="s">
        <v>11</v>
      </c>
      <c r="B16" s="1">
        <v>2643083000</v>
      </c>
      <c r="C16" s="1">
        <v>3633241000</v>
      </c>
      <c r="D16" s="1">
        <v>5306782000</v>
      </c>
      <c r="E16" s="1">
        <v>6816991000</v>
      </c>
      <c r="F16" s="1">
        <v>5449594000</v>
      </c>
      <c r="G16" s="1">
        <v>6508000000</v>
      </c>
      <c r="M16" s="19">
        <f>(SUM(C35:G35)/5)</f>
        <v>0.14224609231543348</v>
      </c>
    </row>
    <row r="17" spans="1:17" ht="19" x14ac:dyDescent="0.25">
      <c r="A17" s="5" t="s">
        <v>12</v>
      </c>
      <c r="B17" s="1">
        <v>16403000</v>
      </c>
      <c r="C17" s="1">
        <v>26143000</v>
      </c>
      <c r="D17" s="1">
        <v>9968000</v>
      </c>
      <c r="E17" s="1">
        <v>171688000</v>
      </c>
      <c r="F17" s="1">
        <v>437599000</v>
      </c>
      <c r="G17" s="1">
        <v>24000000</v>
      </c>
    </row>
    <row r="18" spans="1:17" ht="21" x14ac:dyDescent="0.25">
      <c r="A18" s="5" t="s">
        <v>13</v>
      </c>
      <c r="B18" s="1">
        <v>79342000</v>
      </c>
      <c r="C18" s="1">
        <v>82401000</v>
      </c>
      <c r="D18" s="1">
        <v>114162000</v>
      </c>
      <c r="E18" s="1">
        <v>125876000</v>
      </c>
      <c r="F18" s="1">
        <v>138319000</v>
      </c>
      <c r="G18" s="1">
        <v>81000000</v>
      </c>
      <c r="M18" s="37" t="s">
        <v>157</v>
      </c>
      <c r="N18" s="38"/>
    </row>
    <row r="19" spans="1:17" ht="19" x14ac:dyDescent="0.25">
      <c r="A19" s="6" t="s">
        <v>14</v>
      </c>
      <c r="B19" s="10">
        <v>36646000</v>
      </c>
      <c r="C19" s="10">
        <v>155577000</v>
      </c>
      <c r="D19" s="10">
        <v>-287573000</v>
      </c>
      <c r="E19" s="10">
        <v>-4384374000</v>
      </c>
      <c r="F19" s="10">
        <v>275711000</v>
      </c>
      <c r="G19" s="10">
        <v>2094000000</v>
      </c>
      <c r="M19" s="39" t="s">
        <v>124</v>
      </c>
      <c r="N19" s="40"/>
    </row>
    <row r="20" spans="1:17" ht="19" customHeight="1" x14ac:dyDescent="0.25">
      <c r="A20" s="17" t="s">
        <v>102</v>
      </c>
      <c r="B20" s="1"/>
      <c r="C20" s="18">
        <f>(C19/B19)-1</f>
        <v>3.2454019538285213</v>
      </c>
      <c r="D20" s="18">
        <f>(D19/C19)-1</f>
        <v>-2.8484287523220013</v>
      </c>
      <c r="E20" s="18">
        <f>(E19/D19)-1</f>
        <v>14.24612533165492</v>
      </c>
      <c r="F20" s="18">
        <f t="shared" ref="F20:G20" si="3">(F19/E19)-1</f>
        <v>-1.0628849181205799</v>
      </c>
      <c r="G20" s="18">
        <f t="shared" si="3"/>
        <v>6.5949091621299116</v>
      </c>
      <c r="H20" s="18"/>
      <c r="I20" s="18"/>
      <c r="J20" s="18"/>
      <c r="K20" s="18"/>
      <c r="L20" s="18"/>
      <c r="M20" s="32" t="s">
        <v>103</v>
      </c>
      <c r="N20" s="33">
        <f>G17</f>
        <v>24000000</v>
      </c>
      <c r="O20" s="18"/>
      <c r="P20" s="18"/>
      <c r="Q20" s="18"/>
    </row>
    <row r="21" spans="1:17" ht="20" x14ac:dyDescent="0.25">
      <c r="A21" s="5" t="s">
        <v>15</v>
      </c>
      <c r="B21" s="2">
        <v>1.43E-2</v>
      </c>
      <c r="C21" s="2">
        <v>4.2599999999999999E-2</v>
      </c>
      <c r="D21" s="2">
        <v>-5.9799999999999999E-2</v>
      </c>
      <c r="E21" s="2">
        <v>-1.2978000000000001</v>
      </c>
      <c r="F21" s="2">
        <v>4.5999999999999999E-2</v>
      </c>
      <c r="G21" s="2">
        <v>0.24929999999999999</v>
      </c>
      <c r="M21" s="32" t="s">
        <v>125</v>
      </c>
      <c r="N21" s="33">
        <f>G56</f>
        <v>59000000</v>
      </c>
    </row>
    <row r="22" spans="1:17" ht="20" x14ac:dyDescent="0.25">
      <c r="A22" s="6" t="s">
        <v>16</v>
      </c>
      <c r="B22" s="10">
        <v>-81362000</v>
      </c>
      <c r="C22" s="10">
        <v>18744000</v>
      </c>
      <c r="D22" s="10">
        <v>-501543000</v>
      </c>
      <c r="E22" s="10">
        <v>-3590147000</v>
      </c>
      <c r="F22" s="10">
        <v>429317000</v>
      </c>
      <c r="G22" s="10">
        <v>1891000000</v>
      </c>
      <c r="M22" s="32" t="s">
        <v>126</v>
      </c>
      <c r="N22" s="33">
        <f>G61</f>
        <v>2282000000</v>
      </c>
    </row>
    <row r="23" spans="1:17" ht="20" x14ac:dyDescent="0.25">
      <c r="A23" s="5" t="s">
        <v>17</v>
      </c>
      <c r="B23" s="2">
        <v>-3.1800000000000002E-2</v>
      </c>
      <c r="C23" s="2">
        <v>5.1000000000000004E-3</v>
      </c>
      <c r="D23" s="2">
        <v>-0.10440000000000001</v>
      </c>
      <c r="E23" s="2">
        <v>-1.0627</v>
      </c>
      <c r="F23" s="2">
        <v>7.17E-2</v>
      </c>
      <c r="G23" s="2">
        <v>0.22509999999999999</v>
      </c>
      <c r="M23" s="41" t="s">
        <v>127</v>
      </c>
      <c r="N23" s="42">
        <f>N20/(N21+N22)</f>
        <v>1.0252029047415635E-2</v>
      </c>
    </row>
    <row r="24" spans="1:17" ht="20" x14ac:dyDescent="0.25">
      <c r="A24" s="5" t="s">
        <v>18</v>
      </c>
      <c r="B24" s="1">
        <v>22263000</v>
      </c>
      <c r="C24" s="1">
        <v>28289000</v>
      </c>
      <c r="D24" s="1">
        <v>89840000</v>
      </c>
      <c r="E24" s="1">
        <v>-1091791000</v>
      </c>
      <c r="F24" s="1">
        <v>-729524000</v>
      </c>
      <c r="G24" s="1">
        <v>98000000</v>
      </c>
      <c r="M24" s="32" t="s">
        <v>128</v>
      </c>
      <c r="N24" s="33">
        <f>G27</f>
        <v>96000000</v>
      </c>
    </row>
    <row r="25" spans="1:17" ht="20" x14ac:dyDescent="0.25">
      <c r="A25" s="6" t="s">
        <v>19</v>
      </c>
      <c r="B25" s="10">
        <v>-59099000</v>
      </c>
      <c r="C25" s="10">
        <v>47033000</v>
      </c>
      <c r="D25" s="10">
        <v>-411703000</v>
      </c>
      <c r="E25" s="10">
        <v>-4681938000</v>
      </c>
      <c r="F25" s="10">
        <v>-300207000</v>
      </c>
      <c r="G25" s="10">
        <v>1989000000</v>
      </c>
      <c r="M25" s="32" t="s">
        <v>19</v>
      </c>
      <c r="N25" s="33">
        <f>G25</f>
        <v>1989000000</v>
      </c>
    </row>
    <row r="26" spans="1:17" ht="20" x14ac:dyDescent="0.25">
      <c r="A26" s="5" t="s">
        <v>20</v>
      </c>
      <c r="B26" s="2">
        <v>-2.3099999999999999E-2</v>
      </c>
      <c r="C26" s="2">
        <v>1.29E-2</v>
      </c>
      <c r="D26" s="2">
        <v>-8.5699999999999998E-2</v>
      </c>
      <c r="E26" s="2">
        <v>-1.3858999999999999</v>
      </c>
      <c r="F26" s="2">
        <v>-5.0099999999999999E-2</v>
      </c>
      <c r="G26" s="2">
        <v>0.23680000000000001</v>
      </c>
      <c r="M26" s="41" t="s">
        <v>129</v>
      </c>
      <c r="N26" s="42">
        <f>N24/N25</f>
        <v>4.8265460030165915E-2</v>
      </c>
    </row>
    <row r="27" spans="1:17" ht="20" x14ac:dyDescent="0.25">
      <c r="A27" s="5" t="s">
        <v>21</v>
      </c>
      <c r="B27" s="1">
        <v>10947000</v>
      </c>
      <c r="C27" s="1">
        <v>63893000</v>
      </c>
      <c r="D27" s="1">
        <v>262636000</v>
      </c>
      <c r="E27" s="1">
        <v>-97222000</v>
      </c>
      <c r="F27" s="1">
        <v>51827000</v>
      </c>
      <c r="G27" s="1">
        <v>96000000</v>
      </c>
      <c r="M27" s="43" t="s">
        <v>130</v>
      </c>
      <c r="N27" s="44">
        <f>N23*(1-N26)</f>
        <v>9.7572101491994953E-3</v>
      </c>
    </row>
    <row r="28" spans="1:17" ht="20" thickBot="1" x14ac:dyDescent="0.3">
      <c r="A28" s="7" t="s">
        <v>22</v>
      </c>
      <c r="B28" s="11">
        <v>-70046000</v>
      </c>
      <c r="C28" s="11">
        <v>-16860000</v>
      </c>
      <c r="D28" s="11">
        <v>-674339000</v>
      </c>
      <c r="E28" s="11">
        <v>-4584716000</v>
      </c>
      <c r="F28" s="11">
        <v>-352034000</v>
      </c>
      <c r="G28" s="11">
        <v>1893000000</v>
      </c>
      <c r="M28" s="39" t="s">
        <v>131</v>
      </c>
      <c r="N28" s="40"/>
    </row>
    <row r="29" spans="1:17" ht="20" customHeight="1" thickTop="1" x14ac:dyDescent="0.25">
      <c r="A29" s="17" t="s">
        <v>104</v>
      </c>
      <c r="B29" s="1"/>
      <c r="C29" s="18">
        <f>(C28/B28)-1</f>
        <v>-0.75930103075122068</v>
      </c>
      <c r="D29" s="18">
        <f>(D28/C28)-1</f>
        <v>38.996381969157767</v>
      </c>
      <c r="E29" s="18">
        <f>(E28/D28)-1</f>
        <v>5.7988296687571088</v>
      </c>
      <c r="F29" s="18">
        <f t="shared" ref="F29:G29" si="4">(F28/E28)-1</f>
        <v>-0.92321574553363828</v>
      </c>
      <c r="G29" s="18">
        <f t="shared" si="4"/>
        <v>-6.377321508717908</v>
      </c>
      <c r="H29" s="18"/>
      <c r="I29" s="18"/>
      <c r="J29" s="18"/>
      <c r="K29" s="18"/>
      <c r="L29" s="18"/>
      <c r="M29" s="32" t="s">
        <v>105</v>
      </c>
      <c r="N29" s="34">
        <v>4.095E-2</v>
      </c>
      <c r="O29" s="18"/>
      <c r="P29" s="18"/>
      <c r="Q29" s="18"/>
    </row>
    <row r="30" spans="1:17" ht="20" x14ac:dyDescent="0.25">
      <c r="A30" s="5" t="s">
        <v>23</v>
      </c>
      <c r="B30" s="2">
        <v>-2.7300000000000001E-2</v>
      </c>
      <c r="C30" s="2">
        <v>-4.5999999999999999E-3</v>
      </c>
      <c r="D30" s="2">
        <v>-0.14030000000000001</v>
      </c>
      <c r="E30" s="2">
        <v>-1.3571</v>
      </c>
      <c r="F30" s="2">
        <v>-5.8799999999999998E-2</v>
      </c>
      <c r="G30" s="2">
        <v>0.22539999999999999</v>
      </c>
      <c r="M30" s="32" t="s">
        <v>132</v>
      </c>
      <c r="N30" s="45">
        <v>1.22</v>
      </c>
    </row>
    <row r="31" spans="1:17" ht="20" x14ac:dyDescent="0.25">
      <c r="A31" s="5" t="s">
        <v>24</v>
      </c>
      <c r="B31" s="12">
        <v>-0.13</v>
      </c>
      <c r="C31" s="12">
        <v>-0.03</v>
      </c>
      <c r="D31" s="12">
        <v>-1.29</v>
      </c>
      <c r="E31" s="12">
        <v>-16.12</v>
      </c>
      <c r="F31" s="12">
        <v>-0.56999999999999995</v>
      </c>
      <c r="G31" s="12">
        <v>3.07</v>
      </c>
      <c r="M31" s="32" t="s">
        <v>133</v>
      </c>
      <c r="N31" s="34">
        <v>8.4000000000000005E-2</v>
      </c>
    </row>
    <row r="32" spans="1:17" ht="20" x14ac:dyDescent="0.25">
      <c r="A32" s="5" t="s">
        <v>25</v>
      </c>
      <c r="B32" s="12">
        <v>-0.13</v>
      </c>
      <c r="C32" s="12">
        <v>-0.03</v>
      </c>
      <c r="D32" s="12">
        <v>-1.29</v>
      </c>
      <c r="E32" s="12">
        <v>-16.12</v>
      </c>
      <c r="F32" s="12">
        <v>-0.56999999999999995</v>
      </c>
      <c r="G32" s="12">
        <v>3.07</v>
      </c>
      <c r="M32" s="43" t="s">
        <v>134</v>
      </c>
      <c r="N32" s="44">
        <f>(N29)+((N30)*(N31-N29))</f>
        <v>9.3470999999999999E-2</v>
      </c>
    </row>
    <row r="33" spans="1:14" ht="19" x14ac:dyDescent="0.25">
      <c r="A33" s="5" t="s">
        <v>26</v>
      </c>
      <c r="B33" s="1">
        <v>521709000</v>
      </c>
      <c r="C33" s="1">
        <v>530945000</v>
      </c>
      <c r="D33" s="1">
        <v>521709000</v>
      </c>
      <c r="E33" s="1">
        <v>284363000</v>
      </c>
      <c r="F33" s="1">
        <v>615891000</v>
      </c>
      <c r="G33" s="1">
        <v>615891000</v>
      </c>
      <c r="M33" s="39" t="s">
        <v>135</v>
      </c>
      <c r="N33" s="40"/>
    </row>
    <row r="34" spans="1:14" ht="20" x14ac:dyDescent="0.25">
      <c r="A34" s="5" t="s">
        <v>27</v>
      </c>
      <c r="B34" s="1">
        <v>521709000</v>
      </c>
      <c r="C34" s="1">
        <v>530945000</v>
      </c>
      <c r="D34" s="1">
        <v>521709000</v>
      </c>
      <c r="E34" s="1">
        <v>284363000</v>
      </c>
      <c r="F34" s="1">
        <v>615891000</v>
      </c>
      <c r="G34" s="1">
        <v>615891000</v>
      </c>
      <c r="M34" s="32" t="s">
        <v>136</v>
      </c>
      <c r="N34" s="33">
        <f>N21+N22</f>
        <v>2341000000</v>
      </c>
    </row>
    <row r="35" spans="1:14" ht="20" x14ac:dyDescent="0.25">
      <c r="A35" s="17" t="s">
        <v>121</v>
      </c>
      <c r="B35" s="1"/>
      <c r="C35" s="36">
        <f>(C34-B34)/B34</f>
        <v>1.7703355702125129E-2</v>
      </c>
      <c r="D35" s="36">
        <f t="shared" ref="D35:G35" si="5">(D34-C34)/C34</f>
        <v>-1.7395398770117431E-2</v>
      </c>
      <c r="E35" s="36">
        <f t="shared" si="5"/>
        <v>-0.45493943941929316</v>
      </c>
      <c r="F35" s="36">
        <f t="shared" si="5"/>
        <v>1.1658619440644529</v>
      </c>
      <c r="G35" s="36">
        <f t="shared" si="5"/>
        <v>0</v>
      </c>
      <c r="M35" s="41" t="s">
        <v>137</v>
      </c>
      <c r="N35" s="42">
        <f>N34/N38</f>
        <v>2.8430551001323762E-2</v>
      </c>
    </row>
    <row r="36" spans="1:14" ht="20" x14ac:dyDescent="0.25">
      <c r="A36" s="5" t="s">
        <v>28</v>
      </c>
      <c r="B36" s="13" t="s">
        <v>92</v>
      </c>
      <c r="C36" s="13" t="s">
        <v>92</v>
      </c>
      <c r="D36" s="13" t="s">
        <v>92</v>
      </c>
      <c r="E36" s="13" t="s">
        <v>92</v>
      </c>
      <c r="F36" s="13" t="s">
        <v>92</v>
      </c>
      <c r="G36" s="13" t="s">
        <v>92</v>
      </c>
      <c r="M36" s="32" t="s">
        <v>138</v>
      </c>
      <c r="N36" s="46">
        <v>80000000000</v>
      </c>
    </row>
    <row r="37" spans="1:14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M37" s="41" t="s">
        <v>139</v>
      </c>
      <c r="N37" s="42">
        <f>N36/N38</f>
        <v>0.97156944899867625</v>
      </c>
    </row>
    <row r="38" spans="1:14" ht="20" x14ac:dyDescent="0.25">
      <c r="A38" s="5" t="s">
        <v>30</v>
      </c>
      <c r="B38" s="1" t="s">
        <v>93</v>
      </c>
      <c r="C38" s="1">
        <v>2140877000</v>
      </c>
      <c r="D38" s="1">
        <v>2013547000</v>
      </c>
      <c r="E38" s="1">
        <v>5480557000</v>
      </c>
      <c r="F38" s="1">
        <v>6067438000</v>
      </c>
      <c r="G38" s="1">
        <v>7378000000</v>
      </c>
      <c r="M38" s="43" t="s">
        <v>140</v>
      </c>
      <c r="N38" s="47">
        <f>N34+N36</f>
        <v>82341000000</v>
      </c>
    </row>
    <row r="39" spans="1:14" ht="19" x14ac:dyDescent="0.25">
      <c r="A39" s="5" t="s">
        <v>31</v>
      </c>
      <c r="B39" s="1" t="s">
        <v>93</v>
      </c>
      <c r="C39" s="1">
        <v>1188431000</v>
      </c>
      <c r="D39" s="1">
        <v>1060726000</v>
      </c>
      <c r="E39" s="1">
        <v>910700000</v>
      </c>
      <c r="F39" s="1">
        <v>2255038000</v>
      </c>
      <c r="G39" s="1">
        <v>2244000000</v>
      </c>
      <c r="M39" s="39" t="s">
        <v>141</v>
      </c>
      <c r="N39" s="40"/>
    </row>
    <row r="40" spans="1:14" ht="20" x14ac:dyDescent="0.25">
      <c r="A40" s="5" t="s">
        <v>32</v>
      </c>
      <c r="B40" s="1" t="s">
        <v>93</v>
      </c>
      <c r="C40" s="1">
        <v>3329308000</v>
      </c>
      <c r="D40" s="1">
        <v>3074273000</v>
      </c>
      <c r="E40" s="1">
        <v>6391257000</v>
      </c>
      <c r="F40" s="1">
        <v>8322476000</v>
      </c>
      <c r="G40" s="1">
        <v>9622000000</v>
      </c>
      <c r="M40" s="48" t="s">
        <v>123</v>
      </c>
      <c r="N40" s="49">
        <f>(N35*N27)+(N37*N32)</f>
        <v>9.1090970828132709E-2</v>
      </c>
    </row>
    <row r="41" spans="1:14" ht="19" x14ac:dyDescent="0.25">
      <c r="A41" s="5" t="s">
        <v>33</v>
      </c>
      <c r="B41" s="1" t="s">
        <v>93</v>
      </c>
      <c r="C41" s="1">
        <v>2305011000</v>
      </c>
      <c r="D41" s="1">
        <v>3145457000</v>
      </c>
      <c r="E41" s="1">
        <v>2181329000</v>
      </c>
      <c r="F41" s="1">
        <v>3715471000</v>
      </c>
      <c r="G41" s="1">
        <v>4783000000</v>
      </c>
    </row>
    <row r="42" spans="1:14" ht="19" x14ac:dyDescent="0.25">
      <c r="A42" s="5" t="s">
        <v>34</v>
      </c>
      <c r="B42" s="1" t="s">
        <v>93</v>
      </c>
      <c r="C42" s="1" t="s">
        <v>93</v>
      </c>
      <c r="D42" s="1" t="s">
        <v>93</v>
      </c>
      <c r="E42" s="1" t="s">
        <v>93</v>
      </c>
      <c r="F42" s="1" t="s">
        <v>93</v>
      </c>
      <c r="G42" s="1" t="s">
        <v>93</v>
      </c>
    </row>
    <row r="43" spans="1:14" ht="19" x14ac:dyDescent="0.25">
      <c r="A43" s="5" t="s">
        <v>35</v>
      </c>
      <c r="B43" s="1" t="s">
        <v>93</v>
      </c>
      <c r="C43" s="1">
        <v>240213000</v>
      </c>
      <c r="D43" s="1">
        <v>341713000</v>
      </c>
      <c r="E43" s="1">
        <v>343800000</v>
      </c>
      <c r="F43" s="1">
        <v>348433000</v>
      </c>
      <c r="G43" s="1">
        <v>456000000</v>
      </c>
    </row>
    <row r="44" spans="1:14" ht="19" x14ac:dyDescent="0.25">
      <c r="A44" s="6" t="s">
        <v>36</v>
      </c>
      <c r="B44" s="10" t="s">
        <v>93</v>
      </c>
      <c r="C44" s="10">
        <v>5874532000</v>
      </c>
      <c r="D44" s="10">
        <v>6561443000</v>
      </c>
      <c r="E44" s="10">
        <v>8916386000</v>
      </c>
      <c r="F44" s="10">
        <v>12386380000</v>
      </c>
      <c r="G44" s="10">
        <v>14861000000</v>
      </c>
    </row>
    <row r="45" spans="1:14" ht="19" x14ac:dyDescent="0.25">
      <c r="A45" s="5" t="s">
        <v>37</v>
      </c>
      <c r="B45" s="1" t="s">
        <v>93</v>
      </c>
      <c r="C45" s="1">
        <v>309408000</v>
      </c>
      <c r="D45" s="1">
        <v>686867000</v>
      </c>
      <c r="E45" s="1">
        <v>654262000</v>
      </c>
      <c r="F45" s="1">
        <v>428621000</v>
      </c>
      <c r="G45" s="1">
        <v>259000000</v>
      </c>
    </row>
    <row r="46" spans="1:14" ht="19" x14ac:dyDescent="0.25">
      <c r="A46" s="5" t="s">
        <v>38</v>
      </c>
      <c r="B46" s="1" t="s">
        <v>93</v>
      </c>
      <c r="C46" s="1">
        <v>289861000</v>
      </c>
      <c r="D46" s="1">
        <v>652088000</v>
      </c>
      <c r="E46" s="1">
        <v>655801000</v>
      </c>
      <c r="F46" s="1">
        <v>652602000</v>
      </c>
      <c r="G46" s="1">
        <v>650000000</v>
      </c>
    </row>
    <row r="47" spans="1:14" ht="19" x14ac:dyDescent="0.25">
      <c r="A47" s="5" t="s">
        <v>39</v>
      </c>
      <c r="B47" s="1" t="s">
        <v>93</v>
      </c>
      <c r="C47" s="1">
        <v>28756000</v>
      </c>
      <c r="D47" s="1">
        <v>102912000</v>
      </c>
      <c r="E47" s="1">
        <v>75886000</v>
      </c>
      <c r="F47" s="1">
        <v>52308000</v>
      </c>
      <c r="G47" s="1">
        <v>34000000</v>
      </c>
    </row>
    <row r="48" spans="1:14" ht="19" x14ac:dyDescent="0.25">
      <c r="A48" s="5" t="s">
        <v>40</v>
      </c>
      <c r="B48" s="1" t="s">
        <v>93</v>
      </c>
      <c r="C48" s="1">
        <v>318617000</v>
      </c>
      <c r="D48" s="1">
        <v>755000000</v>
      </c>
      <c r="E48" s="1">
        <v>731687000</v>
      </c>
      <c r="F48" s="1">
        <v>704910000</v>
      </c>
      <c r="G48" s="1">
        <v>684000000</v>
      </c>
    </row>
    <row r="49" spans="1:7" ht="19" x14ac:dyDescent="0.25">
      <c r="A49" s="5" t="s">
        <v>41</v>
      </c>
      <c r="B49" s="1" t="s">
        <v>93</v>
      </c>
      <c r="C49" s="1" t="s">
        <v>93</v>
      </c>
      <c r="D49" s="1" t="s">
        <v>93</v>
      </c>
      <c r="E49" s="1" t="s">
        <v>93</v>
      </c>
      <c r="F49" s="1" t="s">
        <v>93</v>
      </c>
      <c r="G49" s="1" t="s">
        <v>93</v>
      </c>
    </row>
    <row r="50" spans="1:7" ht="19" x14ac:dyDescent="0.25">
      <c r="A50" s="5" t="s">
        <v>42</v>
      </c>
      <c r="B50" s="1" t="s">
        <v>93</v>
      </c>
      <c r="C50" s="1" t="s">
        <v>93</v>
      </c>
      <c r="D50" s="1" t="s">
        <v>93</v>
      </c>
      <c r="E50" s="1" t="s">
        <v>93</v>
      </c>
      <c r="F50" s="1" t="s">
        <v>93</v>
      </c>
      <c r="G50" s="1" t="s">
        <v>93</v>
      </c>
    </row>
    <row r="51" spans="1:7" ht="19" x14ac:dyDescent="0.25">
      <c r="A51" s="5" t="s">
        <v>43</v>
      </c>
      <c r="B51" s="1" t="s">
        <v>93</v>
      </c>
      <c r="C51" s="1">
        <v>110532000</v>
      </c>
      <c r="D51" s="1">
        <v>306809000</v>
      </c>
      <c r="E51" s="1">
        <v>189164000</v>
      </c>
      <c r="F51" s="1">
        <v>188563000</v>
      </c>
      <c r="G51" s="1">
        <v>234000000</v>
      </c>
    </row>
    <row r="52" spans="1:7" ht="19" x14ac:dyDescent="0.25">
      <c r="A52" s="5" t="s">
        <v>44</v>
      </c>
      <c r="B52" s="1" t="s">
        <v>93</v>
      </c>
      <c r="C52" s="1">
        <v>738557000</v>
      </c>
      <c r="D52" s="1">
        <v>1748676000</v>
      </c>
      <c r="E52" s="1">
        <v>1575113000</v>
      </c>
      <c r="F52" s="1">
        <v>1322094000</v>
      </c>
      <c r="G52" s="1">
        <v>1177000000</v>
      </c>
    </row>
    <row r="53" spans="1:7" ht="19" x14ac:dyDescent="0.25">
      <c r="A53" s="5" t="s">
        <v>45</v>
      </c>
      <c r="B53" s="1" t="s">
        <v>93</v>
      </c>
      <c r="C53" s="1" t="s">
        <v>93</v>
      </c>
      <c r="D53" s="1" t="s">
        <v>93</v>
      </c>
      <c r="E53" s="1" t="s">
        <v>93</v>
      </c>
      <c r="F53" s="1" t="s">
        <v>93</v>
      </c>
      <c r="G53" s="1" t="s">
        <v>93</v>
      </c>
    </row>
    <row r="54" spans="1:7" ht="19" x14ac:dyDescent="0.25">
      <c r="A54" s="7" t="s">
        <v>46</v>
      </c>
      <c r="B54" s="11" t="s">
        <v>93</v>
      </c>
      <c r="C54" s="11">
        <v>6613089000</v>
      </c>
      <c r="D54" s="11">
        <v>8310119000</v>
      </c>
      <c r="E54" s="11">
        <v>10491499000</v>
      </c>
      <c r="F54" s="11">
        <v>13708474000</v>
      </c>
      <c r="G54" s="11">
        <v>16038000000</v>
      </c>
    </row>
    <row r="55" spans="1:7" ht="19" x14ac:dyDescent="0.25">
      <c r="A55" s="5" t="s">
        <v>47</v>
      </c>
      <c r="B55" s="1" t="s">
        <v>93</v>
      </c>
      <c r="C55" s="1">
        <v>70630000</v>
      </c>
      <c r="D55" s="1">
        <v>151417000</v>
      </c>
      <c r="E55" s="1">
        <v>79898000</v>
      </c>
      <c r="F55" s="1">
        <v>118361000</v>
      </c>
      <c r="G55" s="1">
        <v>137000000</v>
      </c>
    </row>
    <row r="56" spans="1:7" ht="19" x14ac:dyDescent="0.25">
      <c r="A56" s="5" t="s">
        <v>48</v>
      </c>
      <c r="B56" s="1" t="s">
        <v>93</v>
      </c>
      <c r="C56" s="1" t="s">
        <v>93</v>
      </c>
      <c r="D56" s="1">
        <v>38022000</v>
      </c>
      <c r="E56" s="1">
        <v>83341000</v>
      </c>
      <c r="F56" s="1">
        <v>63479000</v>
      </c>
      <c r="G56" s="1">
        <v>59000000</v>
      </c>
    </row>
    <row r="57" spans="1:7" ht="19" x14ac:dyDescent="0.25">
      <c r="A57" s="5" t="s">
        <v>49</v>
      </c>
      <c r="B57" s="1" t="s">
        <v>93</v>
      </c>
      <c r="C57" s="1">
        <v>159901000</v>
      </c>
      <c r="D57" s="1">
        <v>207462000</v>
      </c>
      <c r="E57" s="1">
        <v>165257000</v>
      </c>
      <c r="F57" s="1">
        <v>334728000</v>
      </c>
      <c r="G57" s="1" t="s">
        <v>93</v>
      </c>
    </row>
    <row r="58" spans="1:7" ht="19" x14ac:dyDescent="0.25">
      <c r="A58" s="5" t="s">
        <v>50</v>
      </c>
      <c r="B58" s="1" t="s">
        <v>93</v>
      </c>
      <c r="C58" s="1" t="s">
        <v>93</v>
      </c>
      <c r="D58" s="1" t="s">
        <v>93</v>
      </c>
      <c r="E58" s="1" t="s">
        <v>93</v>
      </c>
      <c r="F58" s="1" t="s">
        <v>93</v>
      </c>
      <c r="G58" s="1">
        <v>1182000000</v>
      </c>
    </row>
    <row r="59" spans="1:7" ht="19" x14ac:dyDescent="0.25">
      <c r="A59" s="5" t="s">
        <v>51</v>
      </c>
      <c r="B59" s="1" t="s">
        <v>93</v>
      </c>
      <c r="C59" s="1">
        <v>3505479000</v>
      </c>
      <c r="D59" s="1">
        <v>4836863000</v>
      </c>
      <c r="E59" s="1">
        <v>4811283000</v>
      </c>
      <c r="F59" s="1">
        <v>5842714000</v>
      </c>
      <c r="G59" s="1">
        <v>6600000000</v>
      </c>
    </row>
    <row r="60" spans="1:7" ht="19" x14ac:dyDescent="0.25">
      <c r="A60" s="6" t="s">
        <v>52</v>
      </c>
      <c r="B60" s="10" t="s">
        <v>93</v>
      </c>
      <c r="C60" s="10">
        <v>3736010000</v>
      </c>
      <c r="D60" s="10">
        <v>5233764000</v>
      </c>
      <c r="E60" s="10">
        <v>5139779000</v>
      </c>
      <c r="F60" s="10">
        <v>6359282000</v>
      </c>
      <c r="G60" s="10">
        <v>7978000000</v>
      </c>
    </row>
    <row r="61" spans="1:7" ht="19" x14ac:dyDescent="0.25">
      <c r="A61" s="5" t="s">
        <v>53</v>
      </c>
      <c r="B61" s="1" t="s">
        <v>93</v>
      </c>
      <c r="C61" s="1" t="s">
        <v>93</v>
      </c>
      <c r="D61" s="1">
        <v>381374000</v>
      </c>
      <c r="E61" s="1">
        <v>2246467000</v>
      </c>
      <c r="F61" s="1">
        <v>2355020000</v>
      </c>
      <c r="G61" s="1">
        <v>2282000000</v>
      </c>
    </row>
    <row r="62" spans="1:7" ht="19" x14ac:dyDescent="0.25">
      <c r="A62" s="5" t="s">
        <v>50</v>
      </c>
      <c r="B62" s="1" t="s">
        <v>93</v>
      </c>
      <c r="C62" s="1" t="s">
        <v>93</v>
      </c>
      <c r="D62" s="1" t="s">
        <v>93</v>
      </c>
      <c r="E62" s="1" t="s">
        <v>93</v>
      </c>
      <c r="F62" s="1" t="s">
        <v>93</v>
      </c>
      <c r="G62" s="1" t="s">
        <v>93</v>
      </c>
    </row>
    <row r="63" spans="1:7" ht="19" x14ac:dyDescent="0.25">
      <c r="A63" s="5" t="s">
        <v>54</v>
      </c>
      <c r="B63" s="1" t="s">
        <v>93</v>
      </c>
      <c r="C63" s="1" t="s">
        <v>93</v>
      </c>
      <c r="D63" s="1" t="s">
        <v>93</v>
      </c>
      <c r="E63" s="1" t="s">
        <v>93</v>
      </c>
      <c r="F63" s="1" t="s">
        <v>93</v>
      </c>
      <c r="G63" s="1" t="s">
        <v>93</v>
      </c>
    </row>
    <row r="64" spans="1:7" ht="19" x14ac:dyDescent="0.25">
      <c r="A64" s="5" t="s">
        <v>55</v>
      </c>
      <c r="B64" s="1" t="s">
        <v>93</v>
      </c>
      <c r="C64" s="1">
        <v>3394387000</v>
      </c>
      <c r="D64" s="1">
        <v>3502666000</v>
      </c>
      <c r="E64" s="1">
        <v>203470000</v>
      </c>
      <c r="F64" s="1">
        <v>218459000</v>
      </c>
      <c r="G64" s="1">
        <v>218000000</v>
      </c>
    </row>
    <row r="65" spans="1:17" ht="19" x14ac:dyDescent="0.25">
      <c r="A65" s="5" t="s">
        <v>56</v>
      </c>
      <c r="B65" s="1" t="s">
        <v>93</v>
      </c>
      <c r="C65" s="1">
        <v>3394387000</v>
      </c>
      <c r="D65" s="1">
        <v>3884040000</v>
      </c>
      <c r="E65" s="1">
        <v>2449937000</v>
      </c>
      <c r="F65" s="1">
        <v>2573479000</v>
      </c>
      <c r="G65" s="1">
        <v>2500000000</v>
      </c>
    </row>
    <row r="66" spans="1:17" ht="19" x14ac:dyDescent="0.25">
      <c r="A66" s="5" t="s">
        <v>57</v>
      </c>
      <c r="B66" s="1" t="s">
        <v>93</v>
      </c>
      <c r="C66" s="1" t="s">
        <v>93</v>
      </c>
      <c r="D66" s="1" t="s">
        <v>93</v>
      </c>
      <c r="E66" s="1" t="s">
        <v>93</v>
      </c>
      <c r="F66" s="1" t="s">
        <v>93</v>
      </c>
      <c r="G66" s="1" t="s">
        <v>93</v>
      </c>
    </row>
    <row r="67" spans="1:17" ht="19" x14ac:dyDescent="0.25">
      <c r="A67" s="6" t="s">
        <v>58</v>
      </c>
      <c r="B67" s="10" t="s">
        <v>93</v>
      </c>
      <c r="C67" s="10">
        <v>7130397000</v>
      </c>
      <c r="D67" s="10">
        <v>9117804000</v>
      </c>
      <c r="E67" s="10">
        <v>7589716000</v>
      </c>
      <c r="F67" s="10">
        <v>8932761000</v>
      </c>
      <c r="G67" s="10">
        <v>10478000000</v>
      </c>
    </row>
    <row r="68" spans="1:17" ht="19" x14ac:dyDescent="0.25">
      <c r="A68" s="5" t="s">
        <v>59</v>
      </c>
      <c r="B68" s="1" t="s">
        <v>93</v>
      </c>
      <c r="C68" s="1">
        <v>26000</v>
      </c>
      <c r="D68" s="1">
        <v>26000</v>
      </c>
      <c r="E68" s="1">
        <v>60000</v>
      </c>
      <c r="F68" s="1">
        <v>63000</v>
      </c>
      <c r="G68" s="1" t="s">
        <v>93</v>
      </c>
    </row>
    <row r="69" spans="1:17" ht="19" x14ac:dyDescent="0.25">
      <c r="A69" s="5" t="s">
        <v>60</v>
      </c>
      <c r="B69" s="1" t="s">
        <v>93</v>
      </c>
      <c r="C69" s="1">
        <v>-768888000</v>
      </c>
      <c r="D69" s="1">
        <v>-1420991000</v>
      </c>
      <c r="E69" s="1">
        <v>-6005707000</v>
      </c>
      <c r="F69" s="1">
        <v>-6357741000</v>
      </c>
      <c r="G69" s="1">
        <v>-5965000000</v>
      </c>
    </row>
    <row r="70" spans="1:17" ht="19" x14ac:dyDescent="0.25">
      <c r="A70" s="5" t="s">
        <v>61</v>
      </c>
      <c r="B70" s="1" t="s">
        <v>93</v>
      </c>
      <c r="C70" s="1">
        <v>-7912000</v>
      </c>
      <c r="D70" s="1">
        <v>-4410000</v>
      </c>
      <c r="E70" s="1">
        <v>2639000</v>
      </c>
      <c r="F70" s="1">
        <v>-6893000</v>
      </c>
      <c r="G70" s="1">
        <v>-32000000</v>
      </c>
    </row>
    <row r="71" spans="1:17" ht="19" x14ac:dyDescent="0.25">
      <c r="A71" s="5" t="s">
        <v>62</v>
      </c>
      <c r="B71" s="1" t="s">
        <v>93</v>
      </c>
      <c r="C71" s="1">
        <v>259466000</v>
      </c>
      <c r="D71" s="1">
        <v>617690000</v>
      </c>
      <c r="E71" s="1">
        <v>8904791000</v>
      </c>
      <c r="F71" s="1">
        <v>11140284000</v>
      </c>
      <c r="G71" s="1">
        <v>11557000000</v>
      </c>
    </row>
    <row r="72" spans="1:17" ht="19" x14ac:dyDescent="0.25">
      <c r="A72" s="6" t="s">
        <v>63</v>
      </c>
      <c r="B72" s="10" t="s">
        <v>93</v>
      </c>
      <c r="C72" s="10">
        <v>-517308000</v>
      </c>
      <c r="D72" s="10">
        <v>-807685000</v>
      </c>
      <c r="E72" s="10">
        <v>2901783000</v>
      </c>
      <c r="F72" s="10">
        <v>4775713000</v>
      </c>
      <c r="G72" s="10">
        <v>5560000000</v>
      </c>
      <c r="M72" s="73"/>
    </row>
    <row r="73" spans="1:17" ht="20" thickBot="1" x14ac:dyDescent="0.3">
      <c r="A73" s="7" t="s">
        <v>64</v>
      </c>
      <c r="B73" s="11" t="s">
        <v>93</v>
      </c>
      <c r="C73" s="11">
        <v>6613089000</v>
      </c>
      <c r="D73" s="11">
        <v>8310119000</v>
      </c>
      <c r="E73" s="11">
        <v>10491499000</v>
      </c>
      <c r="F73" s="11">
        <v>13708474000</v>
      </c>
      <c r="G73" s="11">
        <v>16038000000</v>
      </c>
    </row>
    <row r="74" spans="1:17" ht="19" x14ac:dyDescent="0.25">
      <c r="A74" s="5" t="s">
        <v>28</v>
      </c>
      <c r="B74" s="13" t="s">
        <v>92</v>
      </c>
      <c r="C74" s="13" t="s">
        <v>92</v>
      </c>
      <c r="D74" s="13" t="s">
        <v>92</v>
      </c>
      <c r="E74" s="13" t="s">
        <v>92</v>
      </c>
      <c r="F74" s="13" t="s">
        <v>92</v>
      </c>
      <c r="G74" s="13" t="s">
        <v>92</v>
      </c>
    </row>
    <row r="75" spans="1:17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</row>
    <row r="76" spans="1:17" ht="19" x14ac:dyDescent="0.25">
      <c r="A76" s="5" t="s">
        <v>66</v>
      </c>
      <c r="B76" s="1">
        <v>-70046000</v>
      </c>
      <c r="C76" s="1">
        <v>-16860000</v>
      </c>
      <c r="D76" s="1">
        <v>-674339000</v>
      </c>
      <c r="E76" s="1">
        <v>-4584716000</v>
      </c>
      <c r="F76" s="1">
        <v>-352034000</v>
      </c>
      <c r="G76" s="1">
        <v>1893000000</v>
      </c>
    </row>
    <row r="77" spans="1:17" ht="19" x14ac:dyDescent="0.25">
      <c r="A77" s="5" t="s">
        <v>13</v>
      </c>
      <c r="B77" s="1">
        <v>79342000</v>
      </c>
      <c r="C77" s="1">
        <v>82401000</v>
      </c>
      <c r="D77" s="1">
        <v>114162000</v>
      </c>
      <c r="E77" s="1">
        <v>125876000</v>
      </c>
      <c r="F77" s="1">
        <v>138319000</v>
      </c>
      <c r="G77" s="1">
        <v>81000000</v>
      </c>
    </row>
    <row r="78" spans="1:17" ht="19" x14ac:dyDescent="0.25">
      <c r="A78" s="5" t="s">
        <v>67</v>
      </c>
      <c r="B78" s="1">
        <v>-4180000</v>
      </c>
      <c r="C78" s="1">
        <v>-5017000</v>
      </c>
      <c r="D78" s="1">
        <v>-5627000</v>
      </c>
      <c r="E78" s="1">
        <v>-19601000</v>
      </c>
      <c r="F78" s="1">
        <v>10935000</v>
      </c>
      <c r="G78" s="1">
        <v>-1000000</v>
      </c>
    </row>
    <row r="79" spans="1:17" ht="19" x14ac:dyDescent="0.25">
      <c r="A79" s="5" t="s">
        <v>68</v>
      </c>
      <c r="B79" s="1">
        <v>38357000</v>
      </c>
      <c r="C79" s="1">
        <v>53893000</v>
      </c>
      <c r="D79" s="1">
        <v>97547000</v>
      </c>
      <c r="E79" s="1">
        <v>3001948000</v>
      </c>
      <c r="F79" s="1">
        <v>898830000</v>
      </c>
      <c r="G79" s="1">
        <v>930000000</v>
      </c>
    </row>
    <row r="80" spans="1:17" ht="19" x14ac:dyDescent="0.25">
      <c r="A80" s="17" t="s">
        <v>106</v>
      </c>
      <c r="B80" s="18">
        <f>B79/B3</f>
        <v>1.4973137199562326E-2</v>
      </c>
      <c r="C80" s="18">
        <f>C79/C3</f>
        <v>1.4757179999370205E-2</v>
      </c>
      <c r="D80" s="18">
        <f>D79/D3</f>
        <v>2.030013491524563E-2</v>
      </c>
      <c r="E80" s="18">
        <f>E79/E3</f>
        <v>0.88862379036877337</v>
      </c>
      <c r="F80" s="18">
        <f>F79/F3</f>
        <v>0.15001101512744169</v>
      </c>
      <c r="G80" s="18">
        <f>G79/G3</f>
        <v>0.11072746755566139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spans="1:17" ht="19" x14ac:dyDescent="0.25">
      <c r="A81" s="5" t="s">
        <v>69</v>
      </c>
      <c r="B81" s="1">
        <v>183202000</v>
      </c>
      <c r="C81" s="1">
        <v>421029000</v>
      </c>
      <c r="D81" s="1">
        <v>620382000</v>
      </c>
      <c r="E81" s="1">
        <v>-284610000</v>
      </c>
      <c r="F81" s="1">
        <v>637923000</v>
      </c>
      <c r="G81" s="1">
        <v>319000000</v>
      </c>
    </row>
    <row r="82" spans="1:17" ht="19" x14ac:dyDescent="0.25">
      <c r="A82" s="5" t="s">
        <v>70</v>
      </c>
      <c r="B82" s="1" t="s">
        <v>93</v>
      </c>
      <c r="C82" s="1" t="s">
        <v>93</v>
      </c>
      <c r="D82" s="1" t="s">
        <v>93</v>
      </c>
      <c r="E82" s="1" t="s">
        <v>93</v>
      </c>
      <c r="F82" s="1" t="s">
        <v>93</v>
      </c>
      <c r="G82" s="1" t="s">
        <v>93</v>
      </c>
    </row>
    <row r="83" spans="1:17" ht="19" x14ac:dyDescent="0.25">
      <c r="A83" s="5" t="s">
        <v>34</v>
      </c>
      <c r="B83" s="1" t="s">
        <v>93</v>
      </c>
      <c r="C83" s="1" t="s">
        <v>93</v>
      </c>
      <c r="D83" s="1" t="s">
        <v>93</v>
      </c>
      <c r="E83" s="1" t="s">
        <v>93</v>
      </c>
      <c r="F83" s="1" t="s">
        <v>93</v>
      </c>
      <c r="G83" s="1" t="s">
        <v>93</v>
      </c>
    </row>
    <row r="84" spans="1:17" ht="19" x14ac:dyDescent="0.25">
      <c r="A84" s="5" t="s">
        <v>47</v>
      </c>
      <c r="B84" s="1">
        <v>11758000</v>
      </c>
      <c r="C84" s="1">
        <v>29837000</v>
      </c>
      <c r="D84" s="1">
        <v>75716000</v>
      </c>
      <c r="E84" s="1">
        <v>-73111000</v>
      </c>
      <c r="F84" s="1">
        <v>39946000</v>
      </c>
      <c r="G84" s="1">
        <v>20000000</v>
      </c>
    </row>
    <row r="85" spans="1:17" ht="19" x14ac:dyDescent="0.25">
      <c r="A85" s="5" t="s">
        <v>71</v>
      </c>
      <c r="B85" s="1">
        <v>135394000</v>
      </c>
      <c r="C85" s="1">
        <v>145895000</v>
      </c>
      <c r="D85" s="1">
        <v>176254000</v>
      </c>
      <c r="E85" s="1">
        <v>-267009000</v>
      </c>
      <c r="F85" s="1">
        <v>495816000</v>
      </c>
      <c r="G85" s="1">
        <v>280000000</v>
      </c>
    </row>
    <row r="86" spans="1:17" ht="19" x14ac:dyDescent="0.25">
      <c r="A86" s="5" t="s">
        <v>72</v>
      </c>
      <c r="B86" s="1">
        <v>24550000</v>
      </c>
      <c r="C86" s="1">
        <v>60111000</v>
      </c>
      <c r="D86" s="1">
        <v>70602000</v>
      </c>
      <c r="E86" s="1">
        <v>1131371000</v>
      </c>
      <c r="F86" s="1">
        <v>855721000</v>
      </c>
      <c r="G86" s="1">
        <v>208000000</v>
      </c>
    </row>
    <row r="87" spans="1:17" ht="19" x14ac:dyDescent="0.25">
      <c r="A87" s="6" t="s">
        <v>73</v>
      </c>
      <c r="B87" s="10">
        <v>251225000</v>
      </c>
      <c r="C87" s="10">
        <v>595557000</v>
      </c>
      <c r="D87" s="10">
        <v>222727000</v>
      </c>
      <c r="E87" s="10">
        <v>-629732000</v>
      </c>
      <c r="F87" s="10">
        <v>2189694000</v>
      </c>
      <c r="G87" s="10">
        <v>3430000000</v>
      </c>
    </row>
    <row r="88" spans="1:17" ht="19" x14ac:dyDescent="0.25">
      <c r="A88" s="5" t="s">
        <v>74</v>
      </c>
      <c r="B88" s="1">
        <v>-100204000</v>
      </c>
      <c r="C88" s="1">
        <v>-90624000</v>
      </c>
      <c r="D88" s="1">
        <v>-125452000</v>
      </c>
      <c r="E88" s="1">
        <v>-37371000</v>
      </c>
      <c r="F88" s="1">
        <v>-25322000</v>
      </c>
      <c r="G88" s="1">
        <v>-25000000</v>
      </c>
    </row>
    <row r="89" spans="1:17" ht="19" x14ac:dyDescent="0.25">
      <c r="A89" s="17" t="s">
        <v>107</v>
      </c>
      <c r="B89" s="18">
        <f>(-1*B88)/B3</f>
        <v>3.9115891230934202E-2</v>
      </c>
      <c r="C89" s="18">
        <f>(-1*C88)/C3</f>
        <v>2.4814997871020827E-2</v>
      </c>
      <c r="D89" s="18">
        <f>(-1*D88)/D3</f>
        <v>2.6107338261426746E-2</v>
      </c>
      <c r="E89" s="18">
        <f>(-1*E88)/E3</f>
        <v>1.1062403369369299E-2</v>
      </c>
      <c r="F89" s="18">
        <f>(-1*F88)/F3</f>
        <v>4.2261372284604186E-3</v>
      </c>
      <c r="G89" s="18">
        <f>(-1*G88)/G3</f>
        <v>2.9765448267650911E-3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spans="1:17" ht="19" x14ac:dyDescent="0.25">
      <c r="A90" s="5" t="s">
        <v>75</v>
      </c>
      <c r="B90" s="1">
        <v>-176649000</v>
      </c>
      <c r="C90" s="1">
        <v>-60150000</v>
      </c>
      <c r="D90" s="1">
        <v>-400298000</v>
      </c>
      <c r="E90" s="1" t="s">
        <v>93</v>
      </c>
      <c r="F90" s="1" t="s">
        <v>93</v>
      </c>
      <c r="G90" s="1" t="s">
        <v>93</v>
      </c>
    </row>
    <row r="91" spans="1:17" ht="19" x14ac:dyDescent="0.25">
      <c r="A91" s="5" t="s">
        <v>76</v>
      </c>
      <c r="B91" s="1">
        <v>-1040246000</v>
      </c>
      <c r="C91" s="1">
        <v>-1270578000</v>
      </c>
      <c r="D91" s="1">
        <v>-1016155000</v>
      </c>
      <c r="E91" s="1">
        <v>-3032664000</v>
      </c>
      <c r="F91" s="1">
        <v>-4938188000</v>
      </c>
      <c r="G91" s="1">
        <v>-4072000000</v>
      </c>
    </row>
    <row r="92" spans="1:17" ht="19" x14ac:dyDescent="0.25">
      <c r="A92" s="5" t="s">
        <v>77</v>
      </c>
      <c r="B92" s="1">
        <v>528155000</v>
      </c>
      <c r="C92" s="1">
        <v>756471000</v>
      </c>
      <c r="D92" s="1">
        <v>1161085000</v>
      </c>
      <c r="E92" s="1">
        <v>3158225000</v>
      </c>
      <c r="F92" s="1">
        <v>3611055000</v>
      </c>
      <c r="G92" s="1">
        <v>4071000000</v>
      </c>
    </row>
    <row r="93" spans="1:17" ht="19" x14ac:dyDescent="0.25">
      <c r="A93" s="5" t="s">
        <v>78</v>
      </c>
      <c r="B93" s="1" t="s">
        <v>93</v>
      </c>
      <c r="C93" s="1">
        <v>-3290000</v>
      </c>
      <c r="D93" s="1">
        <v>33665000</v>
      </c>
      <c r="E93" s="1">
        <v>-8600000</v>
      </c>
      <c r="F93" s="1">
        <v>500000</v>
      </c>
      <c r="G93" s="1">
        <v>-2000000</v>
      </c>
    </row>
    <row r="94" spans="1:17" ht="19" x14ac:dyDescent="0.25">
      <c r="A94" s="6" t="s">
        <v>79</v>
      </c>
      <c r="B94" s="10">
        <v>-788944000</v>
      </c>
      <c r="C94" s="10">
        <v>-668171000</v>
      </c>
      <c r="D94" s="10">
        <v>-347155000</v>
      </c>
      <c r="E94" s="10">
        <v>79590000</v>
      </c>
      <c r="F94" s="10">
        <v>-1351955000</v>
      </c>
      <c r="G94" s="10">
        <v>-28000000</v>
      </c>
    </row>
    <row r="95" spans="1:17" ht="19" x14ac:dyDescent="0.25">
      <c r="A95" s="5" t="s">
        <v>80</v>
      </c>
      <c r="B95" s="1" t="s">
        <v>93</v>
      </c>
      <c r="C95" s="1" t="s">
        <v>93</v>
      </c>
      <c r="D95" s="1" t="s">
        <v>93</v>
      </c>
      <c r="E95" s="1">
        <v>-5000000</v>
      </c>
      <c r="F95" s="1">
        <v>-2207883000</v>
      </c>
      <c r="G95" s="1" t="s">
        <v>93</v>
      </c>
    </row>
    <row r="96" spans="1:17" ht="19" x14ac:dyDescent="0.25">
      <c r="A96" s="5" t="s">
        <v>81</v>
      </c>
      <c r="B96" s="1" t="s">
        <v>93</v>
      </c>
      <c r="C96" s="1" t="s">
        <v>93</v>
      </c>
      <c r="D96" s="1" t="s">
        <v>93</v>
      </c>
      <c r="E96" s="1">
        <v>3650870000</v>
      </c>
      <c r="F96" s="1" t="s">
        <v>93</v>
      </c>
      <c r="G96" s="1" t="s">
        <v>93</v>
      </c>
    </row>
    <row r="97" spans="1:17" ht="19" x14ac:dyDescent="0.25">
      <c r="A97" s="5" t="s">
        <v>82</v>
      </c>
      <c r="B97" s="1" t="s">
        <v>93</v>
      </c>
      <c r="C97" s="1" t="s">
        <v>93</v>
      </c>
      <c r="D97" s="1" t="s">
        <v>93</v>
      </c>
      <c r="E97" s="1" t="s">
        <v>93</v>
      </c>
      <c r="F97" s="1" t="s">
        <v>93</v>
      </c>
      <c r="G97" s="1">
        <v>-1500000000</v>
      </c>
    </row>
    <row r="98" spans="1:17" ht="19" x14ac:dyDescent="0.25">
      <c r="A98" s="5" t="s">
        <v>83</v>
      </c>
      <c r="B98" s="35">
        <v>0</v>
      </c>
      <c r="C98" s="35">
        <v>0</v>
      </c>
      <c r="D98" s="35">
        <v>0</v>
      </c>
      <c r="E98" s="35">
        <v>0</v>
      </c>
      <c r="F98" s="35">
        <v>0</v>
      </c>
      <c r="G98" s="35">
        <v>0</v>
      </c>
    </row>
    <row r="99" spans="1:17" ht="19" x14ac:dyDescent="0.25">
      <c r="A99" s="5" t="s">
        <v>84</v>
      </c>
      <c r="B99" s="1">
        <v>672954000</v>
      </c>
      <c r="C99" s="1">
        <v>140516000</v>
      </c>
      <c r="D99" s="1">
        <v>854579000</v>
      </c>
      <c r="E99" s="1">
        <v>-705056000</v>
      </c>
      <c r="F99" s="1">
        <v>3639042000</v>
      </c>
      <c r="G99" s="1">
        <v>811000000</v>
      </c>
    </row>
    <row r="100" spans="1:17" ht="19" x14ac:dyDescent="0.25">
      <c r="A100" s="6" t="s">
        <v>85</v>
      </c>
      <c r="B100" s="10">
        <v>672954000</v>
      </c>
      <c r="C100" s="10">
        <v>140516000</v>
      </c>
      <c r="D100" s="10">
        <v>854579000</v>
      </c>
      <c r="E100" s="10">
        <v>2940814000</v>
      </c>
      <c r="F100" s="10">
        <v>1431159000</v>
      </c>
      <c r="G100" s="10">
        <v>-689000000</v>
      </c>
    </row>
    <row r="101" spans="1:17" ht="19" x14ac:dyDescent="0.25">
      <c r="A101" s="5" t="s">
        <v>86</v>
      </c>
      <c r="B101" s="1">
        <v>227172000</v>
      </c>
      <c r="C101" s="1">
        <v>-158919000</v>
      </c>
      <c r="D101" s="1">
        <v>-25284000</v>
      </c>
      <c r="E101" s="1">
        <v>134137000</v>
      </c>
      <c r="F101" s="1">
        <v>-209861000</v>
      </c>
      <c r="G101" s="1">
        <v>-337000000</v>
      </c>
    </row>
    <row r="102" spans="1:17" ht="19" x14ac:dyDescent="0.25">
      <c r="A102" s="6" t="s">
        <v>87</v>
      </c>
      <c r="B102" s="10">
        <v>362407000</v>
      </c>
      <c r="C102" s="10">
        <v>-91017000</v>
      </c>
      <c r="D102" s="10">
        <v>704867000</v>
      </c>
      <c r="E102" s="10">
        <v>2524809000</v>
      </c>
      <c r="F102" s="10">
        <v>2059037000</v>
      </c>
      <c r="G102" s="10">
        <v>2376000000</v>
      </c>
    </row>
    <row r="103" spans="1:17" ht="19" x14ac:dyDescent="0.25">
      <c r="A103" s="5" t="s">
        <v>88</v>
      </c>
      <c r="B103" s="1">
        <v>4167186000</v>
      </c>
      <c r="C103" s="1">
        <v>4529593000</v>
      </c>
      <c r="D103" s="1">
        <v>4438576000</v>
      </c>
      <c r="E103" s="1">
        <v>5143443000</v>
      </c>
      <c r="F103" s="1">
        <v>7668252000</v>
      </c>
      <c r="G103" s="1">
        <v>9727000000</v>
      </c>
    </row>
    <row r="104" spans="1:17" ht="20" thickBot="1" x14ac:dyDescent="0.3">
      <c r="A104" s="7" t="s">
        <v>89</v>
      </c>
      <c r="B104" s="11">
        <v>4529593000</v>
      </c>
      <c r="C104" s="11">
        <v>4438576000</v>
      </c>
      <c r="D104" s="11">
        <v>5143443000</v>
      </c>
      <c r="E104" s="11">
        <v>7668252000</v>
      </c>
      <c r="F104" s="11">
        <v>9727289000</v>
      </c>
      <c r="G104" s="11">
        <v>12103000000</v>
      </c>
    </row>
    <row r="105" spans="1:17" ht="20" thickTop="1" x14ac:dyDescent="0.25">
      <c r="A105" s="17" t="s">
        <v>108</v>
      </c>
      <c r="B105" s="1"/>
      <c r="C105" s="18">
        <f>(C106/B106)-1</f>
        <v>2.3434621675131275</v>
      </c>
      <c r="D105" s="18">
        <f>(D106/C106)-1</f>
        <v>-0.80735067820879203</v>
      </c>
      <c r="E105" s="18">
        <f>(E106/D106)-1</f>
        <v>-7.8579079928039066</v>
      </c>
      <c r="F105" s="18">
        <f>(F106/E106)-1</f>
        <v>-4.2444345176082248</v>
      </c>
      <c r="G105" s="18">
        <f>(G106/F106)-1</f>
        <v>0.57320460623220049</v>
      </c>
      <c r="H105" s="18"/>
      <c r="I105" s="18"/>
      <c r="J105" s="18"/>
      <c r="K105" s="18"/>
      <c r="L105" s="18"/>
      <c r="M105" s="18"/>
      <c r="N105" s="52" t="s">
        <v>145</v>
      </c>
      <c r="O105" s="53"/>
      <c r="P105" s="18"/>
      <c r="Q105" s="18"/>
    </row>
    <row r="106" spans="1:17" ht="19" x14ac:dyDescent="0.25">
      <c r="A106" s="5" t="s">
        <v>90</v>
      </c>
      <c r="B106" s="1">
        <v>151021000</v>
      </c>
      <c r="C106" s="1">
        <v>504933000</v>
      </c>
      <c r="D106" s="1">
        <v>97275000</v>
      </c>
      <c r="E106" s="1">
        <v>-667103000</v>
      </c>
      <c r="F106" s="1">
        <v>2164372000</v>
      </c>
      <c r="G106" s="1">
        <v>3405000000</v>
      </c>
      <c r="H106" s="72">
        <f>G106*(1+$O$106)</f>
        <v>3928752213.3983531</v>
      </c>
      <c r="I106" s="72">
        <f>H106*(1+$O$106)</f>
        <v>4533067240.6115885</v>
      </c>
      <c r="J106" s="72">
        <f>I106*(1+$O$106)</f>
        <v>5230337138.0429792</v>
      </c>
      <c r="K106" s="72">
        <f>J106*(1+$O$106)</f>
        <v>6034860090.4275951</v>
      </c>
      <c r="L106" s="72">
        <f>K106*(1+$O$106)</f>
        <v>6963133608.7567692</v>
      </c>
      <c r="M106" s="54" t="s">
        <v>154</v>
      </c>
      <c r="N106" s="50" t="s">
        <v>142</v>
      </c>
      <c r="O106" s="76">
        <f>(SUM(H4:J4)/3)</f>
        <v>0.15381856487469991</v>
      </c>
    </row>
    <row r="107" spans="1:17" ht="19" x14ac:dyDescent="0.25">
      <c r="H107" s="54"/>
      <c r="I107" s="54"/>
      <c r="J107" s="54"/>
      <c r="K107" s="54"/>
      <c r="L107" s="71">
        <f>L106*(1+O107)/(O108-O107)</f>
        <v>107990726411.5663</v>
      </c>
      <c r="M107" s="74" t="s">
        <v>144</v>
      </c>
      <c r="N107" s="67" t="s">
        <v>143</v>
      </c>
      <c r="O107" s="68">
        <v>2.5000000000000001E-2</v>
      </c>
    </row>
    <row r="108" spans="1:17" ht="19" x14ac:dyDescent="0.25">
      <c r="H108" s="70">
        <f t="shared" ref="H108:J108" si="6">H107+H106</f>
        <v>3928752213.3983531</v>
      </c>
      <c r="I108" s="70">
        <f t="shared" si="6"/>
        <v>4533067240.6115885</v>
      </c>
      <c r="J108" s="70">
        <f t="shared" si="6"/>
        <v>5230337138.0429792</v>
      </c>
      <c r="K108" s="70">
        <f>K107+K106</f>
        <v>6034860090.4275951</v>
      </c>
      <c r="L108" s="70">
        <f>L107+L106</f>
        <v>114953860020.32307</v>
      </c>
      <c r="M108" s="75" t="s">
        <v>140</v>
      </c>
      <c r="N108" s="51" t="s">
        <v>155</v>
      </c>
      <c r="O108" s="69">
        <f>N40</f>
        <v>9.1090970828132709E-2</v>
      </c>
    </row>
    <row r="109" spans="1:17" ht="19" x14ac:dyDescent="0.25">
      <c r="H109" s="55" t="s">
        <v>156</v>
      </c>
      <c r="I109" s="59"/>
    </row>
    <row r="110" spans="1:17" ht="20" customHeight="1" x14ac:dyDescent="0.25">
      <c r="H110" s="56" t="s">
        <v>146</v>
      </c>
      <c r="I110" s="66">
        <f>NPV(O108,H108,I108,J108,K108,L108)</f>
        <v>90032720674.495041</v>
      </c>
    </row>
    <row r="111" spans="1:17" ht="20" customHeight="1" x14ac:dyDescent="0.25">
      <c r="H111" s="56" t="s">
        <v>152</v>
      </c>
      <c r="I111" s="66">
        <f>G40</f>
        <v>9622000000</v>
      </c>
    </row>
    <row r="112" spans="1:17" ht="20" x14ac:dyDescent="0.25">
      <c r="H112" s="56" t="s">
        <v>136</v>
      </c>
      <c r="I112" s="66">
        <f>N34</f>
        <v>2341000000</v>
      </c>
    </row>
    <row r="113" spans="8:9" ht="20" x14ac:dyDescent="0.25">
      <c r="H113" s="56" t="s">
        <v>147</v>
      </c>
      <c r="I113" s="66">
        <f>I110+I111-I112</f>
        <v>97313720674.495041</v>
      </c>
    </row>
    <row r="114" spans="8:9" ht="20" x14ac:dyDescent="0.25">
      <c r="H114" s="62" t="s">
        <v>153</v>
      </c>
      <c r="I114" s="64">
        <v>408930000</v>
      </c>
    </row>
    <row r="115" spans="8:9" ht="20" x14ac:dyDescent="0.25">
      <c r="H115" s="57" t="s">
        <v>148</v>
      </c>
      <c r="I115" s="60">
        <f>I113/I114</f>
        <v>237.97158602815895</v>
      </c>
    </row>
    <row r="116" spans="8:9" ht="20" x14ac:dyDescent="0.25">
      <c r="H116" s="62" t="s">
        <v>149</v>
      </c>
      <c r="I116" s="65">
        <v>126.33</v>
      </c>
    </row>
    <row r="117" spans="8:9" ht="20" customHeight="1" x14ac:dyDescent="0.25">
      <c r="H117" s="58" t="s">
        <v>150</v>
      </c>
      <c r="I117" s="63">
        <f>I115/I116-1</f>
        <v>0.88372980312007399</v>
      </c>
    </row>
    <row r="118" spans="8:9" ht="21" customHeight="1" x14ac:dyDescent="0.25">
      <c r="H118" s="58" t="s">
        <v>151</v>
      </c>
      <c r="I118" s="61" t="str">
        <f>IF(I115&gt;I116,"BUY","SELL")</f>
        <v>BUY</v>
      </c>
    </row>
  </sheetData>
  <mergeCells count="7">
    <mergeCell ref="H109:I109"/>
    <mergeCell ref="M18:N18"/>
    <mergeCell ref="M19:N19"/>
    <mergeCell ref="M28:N28"/>
    <mergeCell ref="M33:N33"/>
    <mergeCell ref="M39:N39"/>
    <mergeCell ref="N105:O105"/>
  </mergeCells>
  <hyperlinks>
    <hyperlink ref="A1" r:id="rId1" tooltip="https://roic.ai/company/ABNB" display="ROIC.AI | ABNB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59720/000155972021000010/0001559720-21-000010-index.htm" xr:uid="{00000000-0004-0000-0000-00000A000000}"/>
    <hyperlink ref="E74" r:id="rId9" tooltip="https://www.sec.gov/Archives/edgar/data/1559720/000155972021000010/0001559720-21-000010-index.htm" xr:uid="{00000000-0004-0000-0000-00000B000000}"/>
    <hyperlink ref="F36" r:id="rId10" tooltip="https://www.sec.gov/Archives/edgar/data/1559720/000155972022000006/0001559720-22-000006-index.htm" xr:uid="{00000000-0004-0000-0000-00000D000000}"/>
    <hyperlink ref="F74" r:id="rId11" tooltip="https://www.sec.gov/Archives/edgar/data/1559720/000155972022000006/0001559720-22-000006-index.htm" xr:uid="{00000000-0004-0000-0000-00000E000000}"/>
    <hyperlink ref="G36" r:id="rId12" tooltip="https://www.sec.gov/Archives/edgar/data/1559720/000155972023000003/0001559720-23-000003-index.htm" xr:uid="{00000000-0004-0000-0000-000010000000}"/>
    <hyperlink ref="G74" r:id="rId13" tooltip="https://www.sec.gov/Archives/edgar/data/1559720/000155972023000003/0001559720-23-000003-index.htm" xr:uid="{00000000-0004-0000-0000-000011000000}"/>
    <hyperlink ref="H1" r:id="rId14" display="https://finbox.com/NASDAQGS:ABNB/explorer/revenue_proj" xr:uid="{A9B4D051-77A7-D148-BC59-D386FC73E725}"/>
  </hyperlinks>
  <pageMargins left="0.7" right="0.7" top="0.75" bottom="0.75" header="0.3" footer="0.3"/>
  <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2023-02-23T07:13:09Z</dcterms:created>
  <dcterms:modified xsi:type="dcterms:W3CDTF">2023-03-07T08:11:31Z</dcterms:modified>
</cp:coreProperties>
</file>