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79A3B570-E7E0-C749-B53A-BF754C173141}"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6" i="1" l="1"/>
  <c r="I106" i="1"/>
  <c r="H106" i="1"/>
  <c r="G106" i="1"/>
  <c r="F106" i="1"/>
  <c r="N8" i="1"/>
  <c r="M8" i="1"/>
  <c r="L8" i="1"/>
  <c r="F35" i="1" a="1"/>
  <c r="F35" i="1" s="1"/>
  <c r="F36" i="1" s="1"/>
  <c r="F34" i="1" a="1"/>
  <c r="F34" i="1" s="1"/>
  <c r="L23" i="1"/>
  <c r="F107" i="1"/>
  <c r="J107" i="1"/>
  <c r="I107" i="1"/>
  <c r="H107" i="1"/>
  <c r="G107" i="1"/>
  <c r="F110" i="1"/>
  <c r="G110" i="1"/>
  <c r="H110" i="1"/>
  <c r="I110" i="1"/>
  <c r="D106" i="1"/>
  <c r="B106" i="1"/>
  <c r="C106" i="1"/>
  <c r="E106" i="1"/>
  <c r="G31" i="1"/>
  <c r="H31" i="1"/>
  <c r="I31" i="1"/>
  <c r="J31" i="1"/>
  <c r="F31" i="1"/>
  <c r="F30" i="1"/>
  <c r="G30" i="1"/>
  <c r="H30" i="1"/>
  <c r="I30" i="1"/>
  <c r="J30" i="1"/>
  <c r="G22" i="1"/>
  <c r="H22" i="1"/>
  <c r="I22" i="1"/>
  <c r="J22" i="1"/>
  <c r="F22" i="1"/>
  <c r="F21" i="1"/>
  <c r="G21" i="1"/>
  <c r="H21" i="1"/>
  <c r="I21" i="1"/>
  <c r="J21" i="1"/>
  <c r="G118" i="1" a="1"/>
  <c r="G118" i="1" s="1"/>
  <c r="M20" i="1" s="1"/>
  <c r="M103" i="1" a="1"/>
  <c r="M103" i="1" s="1"/>
  <c r="L20" i="1" s="1"/>
  <c r="M97" i="1" a="1"/>
  <c r="M97" i="1" s="1"/>
  <c r="G113" i="1"/>
  <c r="M92" i="1"/>
  <c r="M91" i="1"/>
  <c r="M93" i="1" s="1"/>
  <c r="M89" i="1"/>
  <c r="M101" i="1" s="1"/>
  <c r="M88" i="1"/>
  <c r="M87" i="1"/>
  <c r="N23" i="1" l="1"/>
  <c r="K107" i="1"/>
  <c r="N20" i="1"/>
  <c r="M23" i="1"/>
  <c r="G114" i="1"/>
  <c r="M105" i="1"/>
  <c r="M104" i="1" s="1"/>
  <c r="M90" i="1"/>
  <c r="M94" i="1" s="1"/>
  <c r="M102" i="1" l="1"/>
  <c r="J7" i="2" l="1"/>
  <c r="I7" i="2"/>
  <c r="H7" i="2"/>
  <c r="G7" i="2"/>
  <c r="F7" i="2"/>
  <c r="E7" i="2"/>
  <c r="D7" i="2"/>
  <c r="G5" i="2"/>
  <c r="H5" i="2"/>
  <c r="I5" i="2"/>
  <c r="J5" i="2"/>
  <c r="F5" i="2"/>
  <c r="E5" i="2"/>
  <c r="D5" i="2"/>
  <c r="L17" i="1"/>
  <c r="K20" i="1"/>
  <c r="N17" i="1"/>
  <c r="M17" i="1"/>
  <c r="N14" i="1"/>
  <c r="M14" i="1"/>
  <c r="L14" i="1"/>
  <c r="K14"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6" i="1" s="1"/>
  <c r="L5" i="1"/>
  <c r="K5" i="1"/>
  <c r="M108" i="1"/>
  <c r="M96" i="1" l="1"/>
  <c r="M99" i="1" s="1"/>
  <c r="M107" i="1" s="1"/>
  <c r="M110" i="1" s="1"/>
  <c r="J109" i="1" s="1"/>
  <c r="J110" i="1" s="1"/>
  <c r="G112" i="1" s="1"/>
  <c r="G115" i="1" s="1"/>
  <c r="G117" i="1" s="1"/>
  <c r="G119" i="1" l="1"/>
  <c r="G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<sst xmlns="http://schemas.openxmlformats.org/spreadsheetml/2006/main" count="304" uniqueCount="181">
  <si>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</si>
  <si>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</si>
  <si>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</si>
  <si>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</si>
  <si>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</si>
  <si>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</si>
  <si>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</si>
  <si>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</si>
  <si>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</si>
  <si>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</si>
  <si>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</si>
  <si>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</si>
  <si>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</si>
  <si>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</si>
  <si>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</si>
  <si>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</si>
  <si>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</si>
  <si>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</si>
  <si>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</si>
  <si>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</si>
  <si>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</si>
  <si>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</si>
  <si>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</si>
  <si>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</si>
  <si>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</si>
  <si>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</si>
  <si>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</si>
  <si>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</si>
  <si>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</si>
  <si>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</si>
  <si>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</si>
  <si>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</si>
  <si>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</si>
  <si>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</si>
  <si>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</si>
  <si>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</si>
  <si>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</si>
  <si>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</si>
  <si>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</si>
  <si>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</si>
  <si>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</si>
  <si>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</si>
  <si>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</si>
  <si>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</si>
  <si>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</si>
  <si>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</si>
  <si>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</si>
  <si>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</si>
  <si>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</si>
  <si>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</si>
  <si>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</si>
  <si>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</si>
  <si>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</si>
  <si>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</si>
  <si>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</si>
  <si>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</si>
  <si>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</si>
  <si>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</si>
  <si>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</si>
  <si>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</si>
  <si>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</si>
  <si>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</si>
  <si>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</si>
  <si>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</si>
  <si>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</si>
  <si>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</si>
  <si>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</si>
  <si>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</si>
  <si>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</si>
  <si>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</si>
  <si>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</si>
  <si>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</si>
  <si>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</si>
  <si>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</si>
  <si>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</si>
  <si>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</si>
  <si>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</si>
  <si>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</si>
  <si>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</si>
  <si>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</si>
  <si>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</si>
  <si>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</si>
  <si>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</si>
  <si>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</si>
  <si>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</si>
  <si>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</si>
  <si>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</si>
  <si>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</si>
  <si>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</si>
  <si>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</si>
  <si>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</si>
  <si>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</si>
  <si>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</si>
  <si>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</si>
  <si>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</si>
  <si>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</si>
  <si>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</si>
  <si>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</si>
  <si>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</si>
  <si>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</si>
  <si>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</si>
  <si>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</si>
  <si>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</si>
  <si>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</si>
  <si>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</si>
  <si>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</si>
  <si>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</si>
  <si>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</si>
  <si>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</si>
  <si>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</si>
  <si>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</si>
  <si>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</si>
  <si>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</si>
  <si>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</si>
  <si>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</si>
  <si>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</si>
  <si>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</si>
  <si>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</si>
  <si>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</si>
  <si>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</si>
  <si>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</si>
  <si>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</si>
  <si>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</si>
  <si>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</si>
  <si>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</si>
  <si>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</si>
  <si>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</si>
  <si>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</si>
  <si>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</si>
  <si>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</si>
  <si>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</si>
  <si>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</si>
  <si>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</si>
  <si>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</si>
  <si>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</si>
  <si>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</si>
  <si>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</si>
  <si>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</si>
  <si>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</si>
  <si>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</si>
  <si>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</si>
  <si>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</si>
  <si>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</si>
  <si>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</si>
  <si>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</si>
  <si>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</si>
  <si>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</si>
  <si>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</si>
  <si>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</si>
  <si>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</si>
  <si>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</si>
  <si>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</si>
  <si>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</si>
  <si>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</si>
  <si>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</si>
  <si>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</si>
  <si>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</si>
  <si>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</si>
  <si>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</si>
  <si>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</si>
  <si>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</si>
  <si>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</si>
  <si>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</si>
  <si>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</si>
  <si>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</si>
  <si>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</si>
  <si>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</si>
  <si>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</si>
  <si>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</si>
  <si>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</si>
  <si>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</si>
  <si>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</si>
  <si>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Forecast</t>
  </si>
  <si>
    <t>Unlevered FCF</t>
  </si>
  <si>
    <t>Levered FCF Growth YoY</t>
  </si>
  <si>
    <t>Levered FCF</t>
  </si>
  <si>
    <t>Forward P/FCF</t>
  </si>
  <si>
    <t>Dividend Yield</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</si>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</sst>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0" fontId="11" fillId="6" borderId="0" xfId="0" applyFont="1" applyFill="1" applyAlignment="1">
      <alignment horizontal="left" vertical="center" wrapText="1"/>
    </xf>
    <xf numFmtId="0" fontId="11"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165" fontId="9" fillId="0" borderId="10" xfId="0" applyNumberFormat="1" applyFont="1" applyBorder="1"/>
    <xf numFmtId="0" fontId="18" fillId="3" borderId="6" xfId="0" applyFont="1" applyFill="1" applyBorder="1" applyAlignment="1">
      <alignment horizontal="center" vertical="center" wrapText="1"/>
    </xf>
    <xf numFmtId="0" fontId="0" fillId="0" borderId="0" xfId="0" applyAlignment="1">
      <alignment vertical="center"/>
    </xf>
    <xf numFmtId="164" fontId="10" fillId="6" borderId="0" xfId="0" applyNumberFormat="1" applyFont="1" applyFill="1" applyAlignment="1">
      <alignment vertical="center"/>
    </xf>
    <xf numFmtId="10" fontId="11" fillId="6"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64" fontId="1" fillId="6" borderId="0" xfId="0" applyNumberFormat="1" applyFont="1" applyFill="1" applyAlignment="1">
      <alignment vertical="center"/>
    </xf>
    <xf numFmtId="0" fontId="0" fillId="6" borderId="0" xfId="0" applyFill="1" applyAlignment="1">
      <alignment vertical="center"/>
    </xf>
    <xf numFmtId="164" fontId="11" fillId="6" borderId="0" xfId="0" applyNumberFormat="1" applyFont="1" applyFill="1" applyAlignment="1">
      <alignment vertical="center"/>
    </xf>
    <xf numFmtId="9" fontId="1" fillId="7" borderId="0" xfId="0" applyNumberFormat="1" applyFont="1" applyFill="1" applyAlignment="1">
      <alignment vertical="center"/>
    </xf>
    <xf numFmtId="10" fontId="11" fillId="4" borderId="0" xfId="0" applyNumberFormat="1" applyFont="1" applyFill="1" applyAlignment="1">
      <alignment vertical="center"/>
    </xf>
    <xf numFmtId="164" fontId="9" fillId="7" borderId="0" xfId="0" applyNumberFormat="1" applyFont="1" applyFill="1" applyAlignment="1">
      <alignment vertical="center"/>
    </xf>
    <xf numFmtId="9" fontId="17"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7" fillId="7" borderId="0" xfId="0" applyFont="1" applyFill="1" applyAlignment="1">
      <alignment vertical="center" wrapText="1"/>
    </xf>
    <xf numFmtId="0" fontId="17"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1" fillId="4" borderId="0" xfId="0" applyNumberFormat="1" applyFont="1" applyFill="1" applyAlignment="1">
      <alignment vertical="center"/>
    </xf>
    <xf numFmtId="167" fontId="1" fillId="6" borderId="0" xfId="0" applyNumberFormat="1" applyFont="1" applyFill="1" applyAlignment="1">
      <alignment vertical="center"/>
    </xf>
    <xf numFmtId="9" fontId="11" fillId="4" borderId="0" xfId="1" applyFont="1" applyFill="1" applyBorder="1" applyAlignment="1">
      <alignment vertical="center"/>
    </xf>
    <xf numFmtId="0" fontId="11" fillId="4" borderId="0" xfId="0" applyFont="1" applyFill="1" applyAlignment="1">
      <alignment horizontal="right" vertical="center"/>
    </xf>
    <xf numFmtId="9" fontId="1" fillId="7" borderId="0" xfId="0" applyNumberFormat="1" applyFont="1" applyFill="1" applyAlignment="1">
      <alignment horizontal="center" vertical="center"/>
    </xf>
    <xf numFmtId="0" fontId="12" fillId="3" borderId="7" xfId="0" applyFont="1" applyFill="1" applyBorder="1" applyAlignment="1">
      <alignment horizontal="center" vertical="center" wrapText="1"/>
    </xf>
    <xf numFmtId="10" fontId="10" fillId="6" borderId="0" xfId="0" applyNumberFormat="1" applyFont="1" applyFill="1"/>
    <xf numFmtId="165" fontId="9"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5" fillId="4" borderId="0" xfId="0" applyFont="1" applyFill="1" applyAlignment="1">
      <alignment horizontal="center" vertical="center"/>
    </xf>
    <xf numFmtId="0" fontId="16" fillId="4" borderId="0" xfId="0" applyFont="1" applyFill="1" applyAlignment="1">
      <alignment horizontal="center" vertical="center"/>
    </xf>
    <xf numFmtId="0" fontId="11" fillId="5" borderId="0" xfId="0" applyFont="1" applyFill="1" applyAlignment="1">
      <alignment horizontal="center" vertical="center" wrapText="1"/>
    </xf>
    <xf numFmtId="0" fontId="1" fillId="4"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Dutch 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805280528052803E-2"/>
          <c:y val="0.15115383770338744"/>
          <c:w val="0.82266666666666666"/>
          <c:h val="0.66219919083236289"/>
        </c:manualLayout>
      </c:layout>
      <c:barChart>
        <c:barDir val="col"/>
        <c:grouping val="stack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Model!$B$1:$J$1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Model!$B$4:$J$4</c:f>
              <c:numCache>
                <c:formatCode>#,###,,;\(#,###,,\);\ \-\ \-</c:formatCode>
                <c:ptCount val="9"/>
                <c:pt idx="0">
                  <c:v>238368000</c:v>
                </c:pt>
                <c:pt idx="1">
                  <c:v>327413000</c:v>
                </c:pt>
                <c:pt idx="2">
                  <c:v>497876000</c:v>
                </c:pt>
                <c:pt idx="3">
                  <c:v>739012000</c:v>
                </c:pt>
                <c:pt idx="4">
                  <c:v>960000000</c:v>
                </c:pt>
                <c:pt idx="5">
                  <c:v>1203000000</c:v>
                </c:pt>
                <c:pt idx="6">
                  <c:v>1473000000</c:v>
                </c:pt>
                <c:pt idx="7">
                  <c:v>1710000000</c:v>
                </c:pt>
                <c:pt idx="8">
                  <c:v>2075000000</c:v>
                </c:pt>
              </c:numCache>
            </c:numRef>
          </c:val>
          <c:extLst>
            <c:ext xmlns:c16="http://schemas.microsoft.com/office/drawing/2014/chart" uri="{C3380CC4-5D6E-409C-BE32-E72D297353CC}">
              <c16:uniqueId val="{00000000-29E2-7541-BCBB-6E174314BFD1}"/>
            </c:ext>
          </c:extLst>
        </c:ser>
        <c:ser>
          <c:idx val="1"/>
          <c:order val="1"/>
          <c:tx>
            <c:strRef>
              <c:f>Model!$A$29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Model!$B$1:$J$1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Model!$B$29:$J$29</c:f>
              <c:numCache>
                <c:formatCode>#,###,,;\(#,###,,\);\ \-\ \-</c:formatCode>
                <c:ptCount val="9"/>
                <c:pt idx="0">
                  <c:v>28386000</c:v>
                </c:pt>
                <c:pt idx="1">
                  <c:v>5725000</c:v>
                </c:pt>
                <c:pt idx="2">
                  <c:v>-121098000</c:v>
                </c:pt>
                <c:pt idx="3">
                  <c:v>-4753000</c:v>
                </c:pt>
                <c:pt idx="4">
                  <c:v>33000000</c:v>
                </c:pt>
                <c:pt idx="5">
                  <c:v>47000000</c:v>
                </c:pt>
                <c:pt idx="6">
                  <c:v>67000000</c:v>
                </c:pt>
                <c:pt idx="7">
                  <c:v>89000000</c:v>
                </c:pt>
                <c:pt idx="8">
                  <c:v>113000000</c:v>
                </c:pt>
              </c:numCache>
            </c:numRef>
          </c:val>
          <c:extLst>
            <c:ext xmlns:c16="http://schemas.microsoft.com/office/drawing/2014/chart" uri="{C3380CC4-5D6E-409C-BE32-E72D297353CC}">
              <c16:uniqueId val="{00000001-29E2-7541-BCBB-6E174314BFD1}"/>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Model!$B$1:$J$1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Model!$B$108:$J$108</c:f>
              <c:numCache>
                <c:formatCode>#,###,,;\(#,###,,\);\ \-\ \-</c:formatCode>
                <c:ptCount val="9"/>
                <c:pt idx="0">
                  <c:v>17237000</c:v>
                </c:pt>
                <c:pt idx="1">
                  <c:v>12974000</c:v>
                </c:pt>
                <c:pt idx="2">
                  <c:v>80375000</c:v>
                </c:pt>
                <c:pt idx="3">
                  <c:v>-127997000</c:v>
                </c:pt>
                <c:pt idx="4">
                  <c:v>-105200000</c:v>
                </c:pt>
                <c:pt idx="5">
                  <c:v>-70000000</c:v>
                </c:pt>
                <c:pt idx="6">
                  <c:v>60000000</c:v>
                </c:pt>
                <c:pt idx="7">
                  <c:v>150000000</c:v>
                </c:pt>
                <c:pt idx="8">
                  <c:v>250000000</c:v>
                </c:pt>
              </c:numCache>
            </c:numRef>
          </c:val>
          <c:extLst>
            <c:ext xmlns:c16="http://schemas.microsoft.com/office/drawing/2014/chart" uri="{C3380CC4-5D6E-409C-BE32-E72D297353CC}">
              <c16:uniqueId val="{00000002-29E2-7541-BCBB-6E174314BFD1}"/>
            </c:ext>
          </c:extLst>
        </c:ser>
        <c:dLbls>
          <c:showLegendKey val="0"/>
          <c:showVal val="0"/>
          <c:showCatName val="0"/>
          <c:showSerName val="0"/>
          <c:showPercent val="0"/>
          <c:showBubbleSize val="0"/>
        </c:dLbls>
        <c:gapWidth val="150"/>
        <c:overlap val="100"/>
        <c:axId val="1703117552"/>
        <c:axId val="1703119824"/>
      </c:barChart>
      <c:catAx>
        <c:axId val="17031175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119824"/>
        <c:crosses val="autoZero"/>
        <c:auto val="1"/>
        <c:lblAlgn val="ctr"/>
        <c:lblOffset val="100"/>
        <c:noMultiLvlLbl val="0"/>
      </c:catAx>
      <c:valAx>
        <c:axId val="17031198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117552"/>
        <c:crosses val="autoZero"/>
        <c:crossBetween val="between"/>
      </c:valAx>
      <c:spPr>
        <a:noFill/>
        <a:ln>
          <a:noFill/>
        </a:ln>
        <a:effectLst/>
      </c:spPr>
    </c:plotArea>
    <c:legend>
      <c:legendPos val="b"/>
      <c:layout>
        <c:manualLayout>
          <c:xMode val="edge"/>
          <c:yMode val="edge"/>
          <c:x val="0.34336872742392349"/>
          <c:y val="0.88195167931136975"/>
          <c:w val="0.31326254515215302"/>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110</xdr:row>
      <xdr:rowOff>33337</xdr:rowOff>
    </xdr:from>
    <xdr:to>
      <xdr:col>13</xdr:col>
      <xdr:colOff>15875</xdr:colOff>
      <xdr:row>127</xdr:row>
      <xdr:rowOff>206374</xdr:rowOff>
    </xdr:to>
    <xdr:graphicFrame macro="">
      <xdr:nvGraphicFramePr>
        <xdr:cNvPr id="3" name="Chart 2">
          <a:extLst>
            <a:ext uri="{FF2B5EF4-FFF2-40B4-BE49-F238E27FC236}">
              <a16:creationId xmlns:a16="http://schemas.microsoft.com/office/drawing/2014/main" id="{8264C196-3CEC-7E6E-D520-754917B71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41.439900000000002</v>
    <v>22.664999999999999</v>
    <v>2.2669999999999999</v>
    <v>-0.61</v>
    <v>-2.3452999999999998E-2</v>
    <v>0</v>
    <v>0</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26.43</v>
    <v>Hotels &amp; Entertainment Services</v>
    <v>Stock</v>
    <v>45218.999786654691</v>
    <v>0</v>
    <v>25.4</v>
    <v>4454626600</v>
    <v>Dutch Bros Inc</v>
    <v>Dutch Bros Inc</v>
    <v>26.1</v>
    <v>48166.66</v>
    <v>26.01</v>
    <v>25.4</v>
    <v>25.4</v>
    <v>175379000</v>
    <v>BROS</v>
    <v>Dutch Bros Inc (XNYS:BROS)</v>
    <v>646928</v>
    <v>1133408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0"/>
  <sheetViews>
    <sheetView tabSelected="1" zoomScale="80" zoomScaleNormal="80" workbookViewId="0">
      <pane xSplit="1" ySplit="1" topLeftCell="B95" activePane="bottomRight" state="frozen"/>
      <selection pane="topRight"/>
      <selection pane="bottomLeft"/>
      <selection pane="bottomRight" activeCell="G101" sqref="G101"/>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960000000</v>
      </c>
      <c r="G4" s="24">
        <v>1203000000</v>
      </c>
      <c r="H4" s="24">
        <v>1473000000</v>
      </c>
      <c r="I4" s="24">
        <v>1710000000</v>
      </c>
      <c r="J4" s="24">
        <v>2075000000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0.2990316801350994</v>
      </c>
      <c r="G5" s="16">
        <f t="shared" si="0"/>
        <v>0.25312500000000004</v>
      </c>
      <c r="H5" s="16">
        <f t="shared" si="0"/>
        <v>0.22443890274314215</v>
      </c>
      <c r="I5" s="16">
        <f t="shared" si="0"/>
        <v>0.16089613034623218</v>
      </c>
      <c r="J5" s="16">
        <f t="shared" si="0"/>
        <v>0.21345029239766089</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72" t="s">
        <v>110</v>
      </c>
      <c r="M7" s="72" t="s">
        <v>111</v>
      </c>
      <c r="N7" s="72" t="s">
        <v>112</v>
      </c>
    </row>
    <row r="8" spans="1:38" ht="19" x14ac:dyDescent="0.25">
      <c r="A8" s="5" t="s">
        <v>4</v>
      </c>
      <c r="B8" s="2">
        <v>0.40300000000000002</v>
      </c>
      <c r="C8" s="2">
        <v>0.35349999999999998</v>
      </c>
      <c r="D8" s="2">
        <v>0.30480000000000002</v>
      </c>
      <c r="E8" s="2">
        <v>0.24479999999999999</v>
      </c>
      <c r="K8" s="17">
        <f>E8</f>
        <v>0.24479999999999999</v>
      </c>
      <c r="L8" s="21">
        <f>F22</f>
        <v>0.14583333333333334</v>
      </c>
      <c r="M8" s="21">
        <f>F31</f>
        <v>3.4375000000000003E-2</v>
      </c>
      <c r="N8" s="21">
        <f>F108/F4</f>
        <v>-0.10958333333333334</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36">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33">
        <f>M103/E4</f>
        <v>6.0278136214296927</v>
      </c>
      <c r="M17" s="33">
        <f>M103/E29</f>
        <v>-937.22419524510838</v>
      </c>
      <c r="N17" s="34">
        <f>M103/E108</f>
        <v>-34.802585998109329</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c r="N19" s="20" t="s">
        <v>176</v>
      </c>
    </row>
    <row r="20" spans="1:14" ht="19" x14ac:dyDescent="0.25">
      <c r="A20" s="6" t="s">
        <v>14</v>
      </c>
      <c r="B20" s="10">
        <v>40491000</v>
      </c>
      <c r="C20" s="10">
        <v>25841000</v>
      </c>
      <c r="D20" s="10">
        <v>-128698000</v>
      </c>
      <c r="E20" s="10">
        <v>60592000</v>
      </c>
      <c r="F20" s="32">
        <v>140000000</v>
      </c>
      <c r="G20" s="32">
        <v>184000000</v>
      </c>
      <c r="H20" s="32">
        <v>236000000</v>
      </c>
      <c r="I20" s="32">
        <v>297500000</v>
      </c>
      <c r="J20" s="32">
        <v>362000000</v>
      </c>
      <c r="K20" s="26">
        <f>E41-E57-E62</f>
        <v>-605239000</v>
      </c>
      <c r="L20" s="33">
        <f>M103/F4</f>
        <v>4.6402360416666664</v>
      </c>
      <c r="M20" s="35">
        <f>G118/F32</f>
        <v>44.561403508771932</v>
      </c>
      <c r="N20" s="34">
        <f>M103/F108</f>
        <v>-42.344359315589351</v>
      </c>
    </row>
    <row r="21" spans="1:14" ht="19" customHeight="1" x14ac:dyDescent="0.25">
      <c r="A21" s="14" t="s">
        <v>100</v>
      </c>
      <c r="B21" s="1"/>
      <c r="C21" s="15">
        <f>(C20/B20)-1</f>
        <v>-0.36180879701662094</v>
      </c>
      <c r="D21" s="15">
        <f>(D20/C20)-1</f>
        <v>-5.9803800162532408</v>
      </c>
      <c r="E21" s="15">
        <f>(E20/D20)-1</f>
        <v>-1.4708076271581532</v>
      </c>
      <c r="F21" s="16">
        <f t="shared" ref="F21:J21" si="3">(F20/E20)-1</f>
        <v>1.310536044362292</v>
      </c>
      <c r="G21" s="16">
        <f t="shared" si="3"/>
        <v>0.31428571428571428</v>
      </c>
      <c r="H21" s="16">
        <f t="shared" si="3"/>
        <v>0.28260869565217384</v>
      </c>
      <c r="I21" s="16">
        <f t="shared" si="3"/>
        <v>0.26059322033898313</v>
      </c>
      <c r="J21" s="16">
        <f t="shared" si="3"/>
        <v>0.21680672268907553</v>
      </c>
    </row>
    <row r="22" spans="1:14" ht="20" x14ac:dyDescent="0.25">
      <c r="A22" s="5" t="s">
        <v>15</v>
      </c>
      <c r="B22" s="2">
        <v>0.1699</v>
      </c>
      <c r="C22" s="2">
        <v>7.8899999999999998E-2</v>
      </c>
      <c r="D22" s="2">
        <v>-0.25850000000000001</v>
      </c>
      <c r="E22" s="2">
        <v>8.2000000000000003E-2</v>
      </c>
      <c r="F22" s="47">
        <f>F20/F4</f>
        <v>0.14583333333333334</v>
      </c>
      <c r="G22" s="47">
        <f t="shared" ref="G22:J22" si="4">G20/G4</f>
        <v>0.15295095594347466</v>
      </c>
      <c r="H22" s="47">
        <f t="shared" si="4"/>
        <v>0.16021724372029872</v>
      </c>
      <c r="I22" s="47">
        <f t="shared" si="4"/>
        <v>0.17397660818713451</v>
      </c>
      <c r="J22" s="47">
        <f t="shared" si="4"/>
        <v>0.17445783132530121</v>
      </c>
      <c r="L22" s="48" t="s">
        <v>180</v>
      </c>
      <c r="M22" s="19" t="s">
        <v>177</v>
      </c>
      <c r="N22" s="20" t="s">
        <v>179</v>
      </c>
    </row>
    <row r="23" spans="1:14" ht="19" x14ac:dyDescent="0.25">
      <c r="A23" s="6" t="s">
        <v>16</v>
      </c>
      <c r="B23" s="10">
        <v>30297000</v>
      </c>
      <c r="C23" s="10">
        <v>10667000</v>
      </c>
      <c r="D23" s="10">
        <v>-113272000</v>
      </c>
      <c r="E23" s="10">
        <v>-2612000</v>
      </c>
      <c r="L23" s="17">
        <f>SUM(G30:J30)/4</f>
        <v>0.36194886735989495</v>
      </c>
      <c r="M23" s="40">
        <f>(-1*E99)/M103</f>
        <v>0</v>
      </c>
      <c r="N23" s="41">
        <f>F108/M103</f>
        <v>-2.3615896335733279E-2</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37">
        <v>33000000</v>
      </c>
      <c r="G29" s="37">
        <v>47000000</v>
      </c>
      <c r="H29" s="37">
        <v>67000000</v>
      </c>
      <c r="I29" s="37">
        <v>89000000</v>
      </c>
      <c r="J29" s="37">
        <v>113000000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-7.9429833789185773</v>
      </c>
      <c r="G30" s="16">
        <f t="shared" si="5"/>
        <v>0.42424242424242431</v>
      </c>
      <c r="H30" s="16">
        <f t="shared" si="5"/>
        <v>0.42553191489361697</v>
      </c>
      <c r="I30" s="16">
        <f t="shared" si="5"/>
        <v>0.32835820895522394</v>
      </c>
      <c r="J30" s="16">
        <f t="shared" si="5"/>
        <v>0.2696629213483146</v>
      </c>
    </row>
    <row r="31" spans="1:14" ht="19" x14ac:dyDescent="0.25">
      <c r="A31" s="5" t="s">
        <v>23</v>
      </c>
      <c r="B31" s="2">
        <v>0.1191</v>
      </c>
      <c r="C31" s="2">
        <v>1.7500000000000002E-2</v>
      </c>
      <c r="D31" s="2">
        <v>-0.2432</v>
      </c>
      <c r="E31" s="2">
        <v>-6.4000000000000003E-3</v>
      </c>
      <c r="F31" s="39">
        <f>F29/F4</f>
        <v>3.4375000000000003E-2</v>
      </c>
      <c r="G31" s="39">
        <f t="shared" ref="G31:J31" si="6">G29/G4</f>
        <v>3.906899418121363E-2</v>
      </c>
      <c r="H31" s="39">
        <f t="shared" si="6"/>
        <v>4.5485403937542433E-2</v>
      </c>
      <c r="I31" s="39">
        <f t="shared" si="6"/>
        <v>5.2046783625730994E-2</v>
      </c>
      <c r="J31" s="39">
        <f t="shared" si="6"/>
        <v>5.4457831325301208E-2</v>
      </c>
    </row>
    <row r="32" spans="1:14" ht="19" x14ac:dyDescent="0.25">
      <c r="A32" s="5" t="s">
        <v>24</v>
      </c>
      <c r="B32" s="12">
        <v>0.61</v>
      </c>
      <c r="C32" s="12">
        <v>0.12</v>
      </c>
      <c r="D32" s="12">
        <v>-2.59</v>
      </c>
      <c r="E32" s="12">
        <v>-0.09</v>
      </c>
      <c r="F32" s="38">
        <v>0.56999999999999995</v>
      </c>
      <c r="G32" s="38">
        <v>0.81</v>
      </c>
      <c r="H32" s="38">
        <v>1.1499999999999999</v>
      </c>
      <c r="I32" s="38">
        <v>1.53</v>
      </c>
      <c r="J32" s="38">
        <v>1.94</v>
      </c>
    </row>
    <row r="33" spans="1:6" ht="19" x14ac:dyDescent="0.25">
      <c r="A33" s="5" t="s">
        <v>25</v>
      </c>
      <c r="B33" s="12">
        <v>0.61</v>
      </c>
      <c r="C33" s="12">
        <v>0.12</v>
      </c>
      <c r="D33" s="12">
        <v>-2.59</v>
      </c>
      <c r="E33" s="12">
        <v>-0.09</v>
      </c>
    </row>
    <row r="34" spans="1:6" ht="19" x14ac:dyDescent="0.25">
      <c r="A34" s="5" t="s">
        <v>26</v>
      </c>
      <c r="B34" s="1">
        <v>46748592</v>
      </c>
      <c r="C34" s="1">
        <v>46748592</v>
      </c>
      <c r="D34" s="1">
        <v>46748592</v>
      </c>
      <c r="E34" s="1">
        <v>51871000</v>
      </c>
      <c r="F34" s="1" cm="1">
        <f t="array" ref="F34">_FV(A1,"Shares outstanding",TRUE)</f>
        <v>175379000</v>
      </c>
    </row>
    <row r="35" spans="1:6" ht="19" x14ac:dyDescent="0.25">
      <c r="A35" s="5" t="s">
        <v>27</v>
      </c>
      <c r="B35" s="1">
        <v>46748592</v>
      </c>
      <c r="C35" s="1">
        <v>46748592</v>
      </c>
      <c r="D35" s="1">
        <v>46748592</v>
      </c>
      <c r="E35" s="1">
        <v>51871000</v>
      </c>
      <c r="F35" s="1" cm="1">
        <f t="array" ref="F35">_FV(A1,"Shares outstanding",TRUE)</f>
        <v>175379000</v>
      </c>
    </row>
    <row r="36" spans="1:6" ht="20" customHeight="1" x14ac:dyDescent="0.25">
      <c r="A36" s="14" t="s">
        <v>102</v>
      </c>
      <c r="B36" s="1"/>
      <c r="C36" s="22">
        <f>(C35-B35)/B35</f>
        <v>0</v>
      </c>
      <c r="D36" s="22">
        <f t="shared" ref="D36:F36" si="7">(D35-C35)/C35</f>
        <v>0</v>
      </c>
      <c r="E36" s="22">
        <f t="shared" si="7"/>
        <v>0.10957352469567426</v>
      </c>
      <c r="F36" s="22">
        <f t="shared" si="7"/>
        <v>2.3810607082955793</v>
      </c>
    </row>
    <row r="37" spans="1:6" ht="19" x14ac:dyDescent="0.25">
      <c r="A37" s="5" t="s">
        <v>28</v>
      </c>
      <c r="B37" s="13" t="s">
        <v>92</v>
      </c>
      <c r="C37" s="13" t="s">
        <v>92</v>
      </c>
      <c r="D37" s="13" t="s">
        <v>92</v>
      </c>
      <c r="E37" s="13" t="s">
        <v>92</v>
      </c>
    </row>
    <row r="38" spans="1:6" ht="21" x14ac:dyDescent="0.25">
      <c r="A38" s="4" t="s">
        <v>29</v>
      </c>
      <c r="B38" s="9" t="s">
        <v>90</v>
      </c>
      <c r="C38" s="9" t="s">
        <v>90</v>
      </c>
      <c r="D38" s="9" t="s">
        <v>90</v>
      </c>
      <c r="E38" s="9" t="s">
        <v>90</v>
      </c>
    </row>
    <row r="39" spans="1:6" ht="19" x14ac:dyDescent="0.25">
      <c r="A39" s="5" t="s">
        <v>30</v>
      </c>
      <c r="B39" s="1">
        <v>15584000</v>
      </c>
      <c r="C39" s="1">
        <v>31640000</v>
      </c>
      <c r="D39" s="1">
        <v>18506000</v>
      </c>
      <c r="E39" s="1">
        <v>20178000</v>
      </c>
    </row>
    <row r="40" spans="1:6" ht="19" x14ac:dyDescent="0.25">
      <c r="A40" s="5" t="s">
        <v>31</v>
      </c>
      <c r="B40" s="1" t="s">
        <v>91</v>
      </c>
      <c r="C40" s="1" t="s">
        <v>91</v>
      </c>
      <c r="D40" s="1" t="s">
        <v>91</v>
      </c>
      <c r="E40" s="1" t="s">
        <v>91</v>
      </c>
    </row>
    <row r="41" spans="1:6" ht="19" x14ac:dyDescent="0.25">
      <c r="A41" s="5" t="s">
        <v>32</v>
      </c>
      <c r="B41" s="1">
        <v>15584000</v>
      </c>
      <c r="C41" s="1">
        <v>31640000</v>
      </c>
      <c r="D41" s="1">
        <v>18506000</v>
      </c>
      <c r="E41" s="1">
        <v>20178000</v>
      </c>
    </row>
    <row r="42" spans="1:6" ht="19" x14ac:dyDescent="0.25">
      <c r="A42" s="5" t="s">
        <v>33</v>
      </c>
      <c r="B42" s="1">
        <v>6619000</v>
      </c>
      <c r="C42" s="1">
        <v>10837000</v>
      </c>
      <c r="D42" s="1">
        <v>10644000</v>
      </c>
      <c r="E42" s="1">
        <v>11966000</v>
      </c>
    </row>
    <row r="43" spans="1:6" ht="19" x14ac:dyDescent="0.25">
      <c r="A43" s="5" t="s">
        <v>34</v>
      </c>
      <c r="B43" s="1">
        <v>10915000</v>
      </c>
      <c r="C43" s="1">
        <v>15580000</v>
      </c>
      <c r="D43" s="1">
        <v>23345000</v>
      </c>
      <c r="E43" s="1">
        <v>39229000</v>
      </c>
    </row>
    <row r="44" spans="1:6" ht="19" x14ac:dyDescent="0.25">
      <c r="A44" s="5" t="s">
        <v>35</v>
      </c>
      <c r="B44" s="1">
        <v>3731000</v>
      </c>
      <c r="C44" s="1">
        <v>5015000</v>
      </c>
      <c r="D44" s="1">
        <v>8796000</v>
      </c>
      <c r="E44" s="1">
        <v>31127000</v>
      </c>
    </row>
    <row r="45" spans="1:6" ht="19" x14ac:dyDescent="0.25">
      <c r="A45" s="6" t="s">
        <v>36</v>
      </c>
      <c r="B45" s="10">
        <v>36849000</v>
      </c>
      <c r="C45" s="10">
        <v>63072000</v>
      </c>
      <c r="D45" s="10">
        <v>61291000</v>
      </c>
      <c r="E45" s="10">
        <v>82322000</v>
      </c>
    </row>
    <row r="46" spans="1:6" ht="19" x14ac:dyDescent="0.25">
      <c r="A46" s="5" t="s">
        <v>37</v>
      </c>
      <c r="B46" s="1">
        <v>103176000</v>
      </c>
      <c r="C46" s="1">
        <v>165423000</v>
      </c>
      <c r="D46" s="1">
        <v>303244000</v>
      </c>
      <c r="E46" s="1">
        <v>782713000</v>
      </c>
    </row>
    <row r="47" spans="1:6" ht="19" x14ac:dyDescent="0.25">
      <c r="A47" s="5" t="s">
        <v>38</v>
      </c>
      <c r="B47" s="1">
        <v>16531000</v>
      </c>
      <c r="C47" s="1">
        <v>18075000</v>
      </c>
      <c r="D47" s="1">
        <v>18715000</v>
      </c>
      <c r="E47" s="1">
        <v>21629000</v>
      </c>
    </row>
    <row r="48" spans="1:6"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19" x14ac:dyDescent="0.25">
      <c r="A84" s="5" t="s">
        <v>34</v>
      </c>
      <c r="B84" s="1">
        <v>222000</v>
      </c>
      <c r="C84" s="1">
        <v>-4587000</v>
      </c>
      <c r="D84" s="1" t="s">
        <v>91</v>
      </c>
      <c r="E84" s="1">
        <v>-15817000</v>
      </c>
    </row>
    <row r="85" spans="1:13" ht="19" customHeight="1" x14ac:dyDescent="0.25">
      <c r="A85" s="5" t="s">
        <v>47</v>
      </c>
      <c r="B85" s="1">
        <v>3531000</v>
      </c>
      <c r="C85" s="1">
        <v>-518000</v>
      </c>
      <c r="D85" s="1" t="s">
        <v>91</v>
      </c>
      <c r="E85" s="1">
        <v>1606000</v>
      </c>
      <c r="F85" s="49"/>
      <c r="G85" s="49"/>
      <c r="H85" s="49"/>
      <c r="I85" s="49"/>
      <c r="J85" s="49"/>
      <c r="K85" s="49"/>
      <c r="L85" s="77" t="s">
        <v>134</v>
      </c>
      <c r="M85" s="78"/>
    </row>
    <row r="86" spans="1:13" ht="20" customHeight="1" x14ac:dyDescent="0.25">
      <c r="A86" s="5" t="s">
        <v>71</v>
      </c>
      <c r="B86" s="1">
        <v>5506000</v>
      </c>
      <c r="C86" s="1">
        <v>4762000</v>
      </c>
      <c r="D86" s="1">
        <v>12118000</v>
      </c>
      <c r="E86" s="1" t="s">
        <v>91</v>
      </c>
      <c r="F86" s="49"/>
      <c r="G86" s="49"/>
      <c r="H86" s="49"/>
      <c r="I86" s="49"/>
      <c r="J86" s="49"/>
      <c r="K86" s="49"/>
      <c r="L86" s="79" t="s">
        <v>135</v>
      </c>
      <c r="M86" s="79"/>
    </row>
    <row r="87" spans="1:13" ht="20" x14ac:dyDescent="0.25">
      <c r="A87" s="5" t="s">
        <v>72</v>
      </c>
      <c r="B87" s="1">
        <v>330000</v>
      </c>
      <c r="C87" s="1">
        <v>573000</v>
      </c>
      <c r="D87" s="1">
        <v>183614000</v>
      </c>
      <c r="E87" s="1" t="s">
        <v>91</v>
      </c>
      <c r="F87" s="49"/>
      <c r="G87" s="49"/>
      <c r="H87" s="49"/>
      <c r="I87" s="49"/>
      <c r="J87" s="49"/>
      <c r="K87" s="49"/>
      <c r="L87" s="42" t="s">
        <v>136</v>
      </c>
      <c r="M87" s="50">
        <f>E18</f>
        <v>18018000</v>
      </c>
    </row>
    <row r="88" spans="1:13" ht="20" x14ac:dyDescent="0.25">
      <c r="A88" s="6" t="s">
        <v>73</v>
      </c>
      <c r="B88" s="10">
        <v>56702000</v>
      </c>
      <c r="C88" s="10">
        <v>53549000</v>
      </c>
      <c r="D88" s="10">
        <v>80375000</v>
      </c>
      <c r="E88" s="10">
        <v>59883000</v>
      </c>
      <c r="F88" s="49"/>
      <c r="G88" s="49"/>
      <c r="H88" s="49"/>
      <c r="I88" s="49"/>
      <c r="J88" s="49"/>
      <c r="K88" s="49"/>
      <c r="L88" s="42" t="s">
        <v>137</v>
      </c>
      <c r="M88" s="50">
        <f>E57</f>
        <v>130762000</v>
      </c>
    </row>
    <row r="89" spans="1:13" ht="20" x14ac:dyDescent="0.25">
      <c r="A89" s="5" t="s">
        <v>74</v>
      </c>
      <c r="B89" s="1">
        <v>-39465000</v>
      </c>
      <c r="C89" s="1">
        <v>-40575000</v>
      </c>
      <c r="D89" s="1">
        <v>-121089000</v>
      </c>
      <c r="E89" s="1">
        <v>-187880000</v>
      </c>
      <c r="F89" s="49"/>
      <c r="G89" s="49"/>
      <c r="H89" s="49"/>
      <c r="I89" s="49"/>
      <c r="J89" s="49"/>
      <c r="K89" s="49"/>
      <c r="L89" s="42" t="s">
        <v>138</v>
      </c>
      <c r="M89" s="50">
        <f>E62</f>
        <v>494655000</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F90" s="49"/>
      <c r="G90" s="49"/>
      <c r="H90" s="49"/>
      <c r="I90" s="49"/>
      <c r="J90" s="49"/>
      <c r="K90" s="49"/>
      <c r="L90" s="43" t="s">
        <v>139</v>
      </c>
      <c r="M90" s="51">
        <f>M87/(M88+M89)</f>
        <v>2.8809578249392006E-2</v>
      </c>
    </row>
    <row r="91" spans="1:13" ht="20" x14ac:dyDescent="0.25">
      <c r="A91" s="5" t="s">
        <v>75</v>
      </c>
      <c r="B91" s="1">
        <v>-530000</v>
      </c>
      <c r="C91" s="1">
        <v>-5094000</v>
      </c>
      <c r="D91" s="1" t="s">
        <v>91</v>
      </c>
      <c r="E91" s="1" t="s">
        <v>91</v>
      </c>
      <c r="F91" s="49"/>
      <c r="G91" s="49"/>
      <c r="H91" s="49"/>
      <c r="I91" s="49"/>
      <c r="J91" s="49"/>
      <c r="K91" s="49"/>
      <c r="L91" s="42" t="s">
        <v>140</v>
      </c>
      <c r="M91" s="50">
        <f>E28</f>
        <v>2599000</v>
      </c>
    </row>
    <row r="92" spans="1:13" ht="20" x14ac:dyDescent="0.25">
      <c r="A92" s="5" t="s">
        <v>76</v>
      </c>
      <c r="B92" s="1" t="s">
        <v>91</v>
      </c>
      <c r="C92" s="1" t="s">
        <v>91</v>
      </c>
      <c r="D92" s="1" t="s">
        <v>91</v>
      </c>
      <c r="E92" s="1" t="s">
        <v>91</v>
      </c>
      <c r="F92" s="49"/>
      <c r="G92" s="49"/>
      <c r="H92" s="49"/>
      <c r="I92" s="49"/>
      <c r="J92" s="49"/>
      <c r="K92" s="49"/>
      <c r="L92" s="42" t="s">
        <v>19</v>
      </c>
      <c r="M92" s="50">
        <f>E26</f>
        <v>-16654000</v>
      </c>
    </row>
    <row r="93" spans="1:13" ht="20" x14ac:dyDescent="0.25">
      <c r="A93" s="5" t="s">
        <v>77</v>
      </c>
      <c r="B93" s="1" t="s">
        <v>91</v>
      </c>
      <c r="C93" s="1" t="s">
        <v>91</v>
      </c>
      <c r="D93" s="1" t="s">
        <v>91</v>
      </c>
      <c r="E93" s="1" t="s">
        <v>91</v>
      </c>
      <c r="F93" s="49"/>
      <c r="G93" s="49"/>
      <c r="H93" s="49"/>
      <c r="I93" s="49"/>
      <c r="J93" s="49"/>
      <c r="K93" s="49"/>
      <c r="L93" s="43" t="s">
        <v>141</v>
      </c>
      <c r="M93" s="51">
        <f>M91/M92</f>
        <v>-0.15605860453944997</v>
      </c>
    </row>
    <row r="94" spans="1:13" ht="19" customHeight="1" x14ac:dyDescent="0.25">
      <c r="A94" s="5" t="s">
        <v>78</v>
      </c>
      <c r="B94" s="1">
        <v>47000</v>
      </c>
      <c r="C94" s="1">
        <v>99000</v>
      </c>
      <c r="D94" s="1">
        <v>-121089000</v>
      </c>
      <c r="E94" s="1">
        <v>-4692000</v>
      </c>
      <c r="F94" s="49"/>
      <c r="G94" s="49"/>
      <c r="H94" s="49"/>
      <c r="I94" s="49"/>
      <c r="J94" s="49"/>
      <c r="K94" s="49"/>
      <c r="L94" s="43" t="s">
        <v>142</v>
      </c>
      <c r="M94" s="51">
        <f>M90*(1-M93)</f>
        <v>3.330556082836221E-2</v>
      </c>
    </row>
    <row r="95" spans="1:13" ht="20" customHeight="1" x14ac:dyDescent="0.25">
      <c r="A95" s="6" t="s">
        <v>79</v>
      </c>
      <c r="B95" s="10">
        <v>-39948000</v>
      </c>
      <c r="C95" s="10">
        <v>-45570000</v>
      </c>
      <c r="D95" s="10">
        <v>-121089000</v>
      </c>
      <c r="E95" s="10">
        <v>-192572000</v>
      </c>
      <c r="F95" s="49"/>
      <c r="G95" s="49"/>
      <c r="H95" s="49"/>
      <c r="I95" s="49"/>
      <c r="J95" s="49"/>
      <c r="K95" s="49"/>
      <c r="L95" s="79" t="s">
        <v>143</v>
      </c>
      <c r="M95" s="79"/>
    </row>
    <row r="96" spans="1:13" ht="20" x14ac:dyDescent="0.25">
      <c r="A96" s="5" t="s">
        <v>80</v>
      </c>
      <c r="B96" s="1">
        <v>-6055000</v>
      </c>
      <c r="C96" s="1">
        <v>-29423000</v>
      </c>
      <c r="D96" s="1" t="s">
        <v>91</v>
      </c>
      <c r="E96" s="1">
        <v>-10569000</v>
      </c>
      <c r="F96" s="49"/>
      <c r="G96" s="49"/>
      <c r="H96" s="49"/>
      <c r="I96" s="49"/>
      <c r="J96" s="49"/>
      <c r="K96" s="49"/>
      <c r="L96" s="42" t="s">
        <v>144</v>
      </c>
      <c r="M96" s="73">
        <f>'[1]US Treasury Bonds'!$C$8</f>
        <v>4.9020000000000001E-2</v>
      </c>
    </row>
    <row r="97" spans="1:13" ht="20" x14ac:dyDescent="0.25">
      <c r="A97" s="5" t="s">
        <v>81</v>
      </c>
      <c r="B97" s="1" t="s">
        <v>91</v>
      </c>
      <c r="C97" s="1" t="s">
        <v>91</v>
      </c>
      <c r="D97" s="1" t="s">
        <v>91</v>
      </c>
      <c r="E97" s="1" t="s">
        <v>91</v>
      </c>
      <c r="F97" s="49"/>
      <c r="G97" s="49"/>
      <c r="H97" s="49"/>
      <c r="I97" s="49"/>
      <c r="J97" s="49"/>
      <c r="K97" s="49"/>
      <c r="L97" s="42" t="s">
        <v>145</v>
      </c>
      <c r="M97" s="53" cm="1">
        <f t="array" ref="M97">_FV(A1,"Beta")</f>
        <v>2.2669999999999999</v>
      </c>
    </row>
    <row r="98" spans="1:13" ht="20" x14ac:dyDescent="0.25">
      <c r="A98" s="5" t="s">
        <v>82</v>
      </c>
      <c r="B98" s="1" t="s">
        <v>91</v>
      </c>
      <c r="C98" s="1" t="s">
        <v>91</v>
      </c>
      <c r="D98" s="1" t="s">
        <v>91</v>
      </c>
      <c r="E98" s="1" t="s">
        <v>91</v>
      </c>
      <c r="F98" s="49"/>
      <c r="G98" s="49"/>
      <c r="H98" s="49"/>
      <c r="I98" s="49"/>
      <c r="J98" s="49"/>
      <c r="K98" s="49"/>
      <c r="L98" s="42" t="s">
        <v>146</v>
      </c>
      <c r="M98" s="52">
        <v>8.4000000000000005E-2</v>
      </c>
    </row>
    <row r="99" spans="1:13" ht="19" customHeight="1" x14ac:dyDescent="0.25">
      <c r="A99" s="5" t="s">
        <v>83</v>
      </c>
      <c r="B99" s="1" t="s">
        <v>91</v>
      </c>
      <c r="C99" s="1" t="s">
        <v>91</v>
      </c>
      <c r="D99" s="1" t="s">
        <v>91</v>
      </c>
      <c r="E99" s="1">
        <v>0</v>
      </c>
      <c r="F99" s="49"/>
      <c r="G99" s="49"/>
      <c r="H99" s="49"/>
      <c r="I99" s="49"/>
      <c r="J99" s="49"/>
      <c r="K99" s="49"/>
      <c r="L99" s="43" t="s">
        <v>147</v>
      </c>
      <c r="M99" s="51">
        <f>(M96)+((M97)*(M98-M96))</f>
        <v>0.12831966</v>
      </c>
    </row>
    <row r="100" spans="1:13" ht="20" customHeight="1" x14ac:dyDescent="0.25">
      <c r="A100" s="5" t="s">
        <v>84</v>
      </c>
      <c r="B100" s="1">
        <v>-6625000</v>
      </c>
      <c r="C100" s="1">
        <v>37500000</v>
      </c>
      <c r="D100" s="1">
        <v>27580000</v>
      </c>
      <c r="E100" s="1">
        <v>144930000</v>
      </c>
      <c r="F100" s="49"/>
      <c r="G100" s="49"/>
      <c r="H100" s="49"/>
      <c r="I100" s="49"/>
      <c r="J100" s="49"/>
      <c r="K100" s="49"/>
      <c r="L100" s="79" t="s">
        <v>148</v>
      </c>
      <c r="M100" s="79"/>
    </row>
    <row r="101" spans="1:13" ht="20" x14ac:dyDescent="0.25">
      <c r="A101" s="6" t="s">
        <v>85</v>
      </c>
      <c r="B101" s="10">
        <v>-12680000</v>
      </c>
      <c r="C101" s="10">
        <v>8077000</v>
      </c>
      <c r="D101" s="10">
        <v>27580000</v>
      </c>
      <c r="E101" s="10">
        <v>134361000</v>
      </c>
      <c r="F101" s="49"/>
      <c r="G101" s="49"/>
      <c r="H101" s="49"/>
      <c r="I101" s="49"/>
      <c r="J101" s="49"/>
      <c r="K101" s="49"/>
      <c r="L101" s="42" t="s">
        <v>149</v>
      </c>
      <c r="M101" s="50">
        <f>M88+M89</f>
        <v>625417000</v>
      </c>
    </row>
    <row r="102" spans="1:13" ht="20" x14ac:dyDescent="0.25">
      <c r="A102" s="5" t="s">
        <v>86</v>
      </c>
      <c r="B102" s="1" t="s">
        <v>91</v>
      </c>
      <c r="C102" s="1" t="s">
        <v>91</v>
      </c>
      <c r="D102" s="1" t="s">
        <v>91</v>
      </c>
      <c r="E102" s="1" t="s">
        <v>91</v>
      </c>
      <c r="F102" s="49"/>
      <c r="G102" s="49"/>
      <c r="H102" s="49"/>
      <c r="I102" s="49"/>
      <c r="J102" s="49"/>
      <c r="K102" s="49"/>
      <c r="L102" s="43" t="s">
        <v>150</v>
      </c>
      <c r="M102" s="51">
        <f>M101/M105</f>
        <v>0.12311252604209932</v>
      </c>
    </row>
    <row r="103" spans="1:13" ht="20" x14ac:dyDescent="0.25">
      <c r="A103" s="6" t="s">
        <v>87</v>
      </c>
      <c r="B103" s="10">
        <v>4074000</v>
      </c>
      <c r="C103" s="10">
        <v>16056000</v>
      </c>
      <c r="D103" s="10">
        <v>-13134000</v>
      </c>
      <c r="E103" s="10">
        <v>1672000</v>
      </c>
      <c r="F103" s="49"/>
      <c r="G103" s="49"/>
      <c r="H103" s="49"/>
      <c r="I103" s="49"/>
      <c r="J103" s="49"/>
      <c r="K103" s="49"/>
      <c r="L103" s="42" t="s">
        <v>151</v>
      </c>
      <c r="M103" s="54" cm="1">
        <f t="array" ref="M103">_FV(A1,"Market cap",TRUE)</f>
        <v>4454626600</v>
      </c>
    </row>
    <row r="104" spans="1:13" ht="20" x14ac:dyDescent="0.25">
      <c r="A104" s="5" t="s">
        <v>88</v>
      </c>
      <c r="B104" s="1">
        <v>11510000</v>
      </c>
      <c r="C104" s="1">
        <v>15584000</v>
      </c>
      <c r="D104" s="1">
        <v>31640000</v>
      </c>
      <c r="E104" s="1">
        <v>18506000</v>
      </c>
      <c r="F104" s="49"/>
      <c r="G104" s="49"/>
      <c r="H104" s="49"/>
      <c r="I104" s="49"/>
      <c r="J104" s="49"/>
      <c r="K104" s="49"/>
      <c r="L104" s="43" t="s">
        <v>152</v>
      </c>
      <c r="M104" s="51">
        <f>M103/M105</f>
        <v>0.87688747395790068</v>
      </c>
    </row>
    <row r="105" spans="1:13" ht="20" customHeight="1" thickBot="1" x14ac:dyDescent="0.3">
      <c r="A105" s="7" t="s">
        <v>89</v>
      </c>
      <c r="B105" s="11">
        <v>15584000</v>
      </c>
      <c r="C105" s="11">
        <v>31640000</v>
      </c>
      <c r="D105" s="11">
        <v>18506000</v>
      </c>
      <c r="E105" s="11">
        <v>20178000</v>
      </c>
      <c r="F105" s="81" t="s">
        <v>112</v>
      </c>
      <c r="G105" s="81"/>
      <c r="H105" s="81"/>
      <c r="I105" s="81"/>
      <c r="J105" s="81"/>
      <c r="K105" s="49"/>
      <c r="L105" s="43" t="s">
        <v>153</v>
      </c>
      <c r="M105" s="56">
        <f>M101+M103</f>
        <v>5080043600</v>
      </c>
    </row>
    <row r="106" spans="1:13" ht="21" customHeight="1" thickTop="1" x14ac:dyDescent="0.25">
      <c r="A106" s="14" t="s">
        <v>173</v>
      </c>
      <c r="B106" s="1">
        <f t="shared" ref="B106:C106" si="10">(B23*(1-0.2))+B78+B89+B82</f>
        <v>6000600</v>
      </c>
      <c r="C106" s="1">
        <f t="shared" si="10"/>
        <v>-19877400</v>
      </c>
      <c r="D106" s="1">
        <f>(D23*(1-0.2))+D78+D89+D82</f>
        <v>-178310600</v>
      </c>
      <c r="E106" s="1">
        <f>(E23*(1-0.2))+E78+E89+E82</f>
        <v>-153568600</v>
      </c>
      <c r="F106" s="74">
        <f>F108/F4</f>
        <v>-0.10958333333333334</v>
      </c>
      <c r="G106" s="74">
        <f>G108/G4</f>
        <v>-5.8187863674147966E-2</v>
      </c>
      <c r="H106" s="74">
        <f>H108/H4</f>
        <v>4.0733197556008148E-2</v>
      </c>
      <c r="I106" s="74">
        <f>I108/I4</f>
        <v>8.771929824561403E-2</v>
      </c>
      <c r="J106" s="74">
        <f>J108/J4</f>
        <v>0.12048192771084337</v>
      </c>
      <c r="K106" s="75" t="s">
        <v>178</v>
      </c>
      <c r="L106" s="79" t="s">
        <v>154</v>
      </c>
      <c r="M106" s="79"/>
    </row>
    <row r="107" spans="1:13" ht="20" x14ac:dyDescent="0.25">
      <c r="A107" s="14" t="s">
        <v>174</v>
      </c>
      <c r="B107" s="1"/>
      <c r="C107" s="15">
        <f t="shared" ref="C107:J107" si="11">(C108/B108)-1</f>
        <v>-0.24731681847189191</v>
      </c>
      <c r="D107" s="15">
        <f t="shared" si="11"/>
        <v>5.1950824726375826</v>
      </c>
      <c r="E107" s="15">
        <f t="shared" si="11"/>
        <v>-2.5924976671850697</v>
      </c>
      <c r="F107" s="57">
        <f t="shared" si="11"/>
        <v>-0.17810573685320752</v>
      </c>
      <c r="G107" s="57">
        <f t="shared" si="11"/>
        <v>-0.33460076045627374</v>
      </c>
      <c r="H107" s="57">
        <f t="shared" si="11"/>
        <v>-1.8571428571428572</v>
      </c>
      <c r="I107" s="57">
        <f t="shared" si="11"/>
        <v>1.5</v>
      </c>
      <c r="J107" s="57">
        <f t="shared" si="11"/>
        <v>0.66666666666666674</v>
      </c>
      <c r="K107" s="71">
        <f>SUM(F107:J107)/5</f>
        <v>-4.0636537557134346E-2</v>
      </c>
      <c r="L107" s="44" t="s">
        <v>155</v>
      </c>
      <c r="M107" s="58">
        <f>(M102*M94)+(M104*M99)</f>
        <v>0.11662223424136513</v>
      </c>
    </row>
    <row r="108" spans="1:13" ht="19" x14ac:dyDescent="0.25">
      <c r="A108" s="28" t="s">
        <v>175</v>
      </c>
      <c r="B108" s="1">
        <v>17237000</v>
      </c>
      <c r="C108" s="1">
        <v>12974000</v>
      </c>
      <c r="D108" s="1">
        <v>80375000</v>
      </c>
      <c r="E108" s="1">
        <v>-127997000</v>
      </c>
      <c r="F108" s="59">
        <v>-105200000</v>
      </c>
      <c r="G108" s="59">
        <v>-70000000</v>
      </c>
      <c r="H108" s="59">
        <v>60000000</v>
      </c>
      <c r="I108" s="59">
        <v>150000000</v>
      </c>
      <c r="J108" s="59">
        <v>250000000</v>
      </c>
      <c r="K108" s="55" t="s">
        <v>172</v>
      </c>
      <c r="L108" s="60" t="s">
        <v>156</v>
      </c>
      <c r="M108" s="45">
        <f>(SUM(F5:J5)/5)</f>
        <v>0.23018840112442693</v>
      </c>
    </row>
    <row r="109" spans="1:13" ht="19" x14ac:dyDescent="0.2">
      <c r="F109" s="76"/>
      <c r="G109" s="76"/>
      <c r="H109" s="76"/>
      <c r="I109" s="76"/>
      <c r="J109" s="61">
        <f>J108*(1+M109)/(M110-M109)</f>
        <v>2796810207.9343266</v>
      </c>
      <c r="K109" s="62" t="s">
        <v>157</v>
      </c>
      <c r="L109" s="63" t="s">
        <v>158</v>
      </c>
      <c r="M109" s="46">
        <v>2.5000000000000001E-2</v>
      </c>
    </row>
    <row r="110" spans="1:13" ht="19" x14ac:dyDescent="0.2">
      <c r="F110" s="61">
        <f t="shared" ref="F110:I110" si="12">F109+F108</f>
        <v>-105200000</v>
      </c>
      <c r="G110" s="61">
        <f t="shared" si="12"/>
        <v>-70000000</v>
      </c>
      <c r="H110" s="61">
        <f t="shared" si="12"/>
        <v>60000000</v>
      </c>
      <c r="I110" s="61">
        <f t="shared" si="12"/>
        <v>150000000</v>
      </c>
      <c r="J110" s="61">
        <f>J109+J108</f>
        <v>3046810207.9343266</v>
      </c>
      <c r="K110" s="62" t="s">
        <v>153</v>
      </c>
      <c r="L110" s="64" t="s">
        <v>159</v>
      </c>
      <c r="M110" s="45">
        <f>M107</f>
        <v>0.11662223424136513</v>
      </c>
    </row>
    <row r="111" spans="1:13" ht="19" x14ac:dyDescent="0.2">
      <c r="F111" s="80" t="s">
        <v>160</v>
      </c>
      <c r="G111" s="80"/>
      <c r="H111" s="49"/>
      <c r="I111" s="49"/>
      <c r="J111" s="49"/>
      <c r="K111" s="49"/>
      <c r="L111" s="49"/>
      <c r="M111" s="49"/>
    </row>
    <row r="112" spans="1:13" ht="20" x14ac:dyDescent="0.2">
      <c r="F112" s="65" t="s">
        <v>161</v>
      </c>
      <c r="G112" s="54">
        <f>NPV(M110,F110,G110,H110,I110,J110)</f>
        <v>1744376791.0656013</v>
      </c>
      <c r="H112" s="49"/>
      <c r="I112" s="49"/>
      <c r="J112" s="49"/>
      <c r="K112" s="49"/>
      <c r="L112" s="49"/>
      <c r="M112" s="49"/>
    </row>
    <row r="113" spans="6:13" ht="20" x14ac:dyDescent="0.2">
      <c r="F113" s="65" t="s">
        <v>162</v>
      </c>
      <c r="G113" s="54">
        <f>E41</f>
        <v>20178000</v>
      </c>
      <c r="H113" s="49"/>
      <c r="I113" s="49"/>
      <c r="J113" s="49"/>
      <c r="K113" s="49"/>
      <c r="L113" s="49"/>
      <c r="M113" s="49"/>
    </row>
    <row r="114" spans="6:13" ht="20" x14ac:dyDescent="0.2">
      <c r="F114" s="65" t="s">
        <v>149</v>
      </c>
      <c r="G114" s="54">
        <f>M101</f>
        <v>625417000</v>
      </c>
      <c r="H114" s="49"/>
      <c r="I114" s="49"/>
      <c r="J114" s="49"/>
      <c r="K114" s="49"/>
      <c r="L114" s="49"/>
      <c r="M114" s="49"/>
    </row>
    <row r="115" spans="6:13" ht="20" x14ac:dyDescent="0.2">
      <c r="F115" s="65" t="s">
        <v>163</v>
      </c>
      <c r="G115" s="54">
        <f>G112+G113-G114</f>
        <v>1139137791.0656013</v>
      </c>
      <c r="H115" s="49"/>
      <c r="I115" s="49"/>
      <c r="J115" s="49"/>
      <c r="K115" s="49"/>
      <c r="L115" s="49"/>
      <c r="M115" s="49"/>
    </row>
    <row r="116" spans="6:13" ht="20" x14ac:dyDescent="0.2">
      <c r="F116" s="65" t="s">
        <v>168</v>
      </c>
      <c r="G116" s="65">
        <f>E35*(1+(5*K17))</f>
        <v>61343813.832482196</v>
      </c>
      <c r="H116" s="49"/>
      <c r="I116" s="49"/>
      <c r="J116" s="49"/>
      <c r="K116" s="49"/>
      <c r="L116" s="49"/>
      <c r="M116" s="49"/>
    </row>
    <row r="117" spans="6:13" ht="20" x14ac:dyDescent="0.2">
      <c r="F117" s="66" t="s">
        <v>164</v>
      </c>
      <c r="G117" s="67">
        <f>G115/G116</f>
        <v>18.569725615305906</v>
      </c>
      <c r="H117" s="49"/>
      <c r="I117" s="49"/>
      <c r="J117" s="49"/>
      <c r="K117" s="49"/>
      <c r="L117" s="49"/>
      <c r="M117" s="49"/>
    </row>
    <row r="118" spans="6:13" ht="20" x14ac:dyDescent="0.2">
      <c r="F118" s="65" t="s">
        <v>165</v>
      </c>
      <c r="G118" s="68" cm="1">
        <f t="array" ref="G118">_FV(A1,"Price")</f>
        <v>25.4</v>
      </c>
      <c r="H118" s="49"/>
      <c r="I118" s="49"/>
      <c r="J118" s="49"/>
      <c r="K118" s="49"/>
      <c r="L118" s="49"/>
      <c r="M118" s="49"/>
    </row>
    <row r="119" spans="6:13" ht="20" x14ac:dyDescent="0.2">
      <c r="F119" s="66" t="s">
        <v>166</v>
      </c>
      <c r="G119" s="69">
        <f>G117/G118-1</f>
        <v>-0.26890844034228711</v>
      </c>
      <c r="H119" s="49"/>
      <c r="I119" s="49"/>
      <c r="J119" s="49"/>
      <c r="K119" s="49"/>
      <c r="L119" s="49"/>
      <c r="M119" s="49"/>
    </row>
    <row r="120" spans="6:13" ht="20" x14ac:dyDescent="0.2">
      <c r="F120" s="66" t="s">
        <v>167</v>
      </c>
      <c r="G120" s="70" t="str">
        <f>IF(G117&gt;G118,"BUY","SELL")</f>
        <v>SELL</v>
      </c>
      <c r="H120" s="49"/>
      <c r="I120" s="49"/>
      <c r="J120" s="49"/>
      <c r="K120" s="49"/>
      <c r="L120" s="49"/>
      <c r="M120" s="49"/>
    </row>
  </sheetData>
  <mergeCells count="7">
    <mergeCell ref="L85:M85"/>
    <mergeCell ref="L86:M86"/>
    <mergeCell ref="F111:G111"/>
    <mergeCell ref="F105:J105"/>
    <mergeCell ref="L106:M106"/>
    <mergeCell ref="L100:M100"/>
    <mergeCell ref="L95:M9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8"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2023-03-11T13:13:09Z</dcterms:created>
  <dcterms:modified xsi:type="dcterms:W3CDTF">2023-10-20T04:28:20Z</dcterms:modified>
</cp:coreProperties>
</file>