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1E0B7F33-1C3D-AA4F-9332-1EE101D1E900}"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4" i="1" l="1"/>
  <c r="R104" i="1"/>
  <c r="Q104" i="1"/>
  <c r="P104" i="1"/>
  <c r="O104" i="1"/>
  <c r="S104" i="1"/>
  <c r="N108" i="1" l="1"/>
  <c r="O108" i="1"/>
  <c r="P108" i="1"/>
  <c r="Q108" i="1"/>
  <c r="B105" i="1"/>
  <c r="C105" i="1"/>
  <c r="D105" i="1"/>
  <c r="E105" i="1"/>
  <c r="F105" i="1"/>
  <c r="G105" i="1"/>
  <c r="H105" i="1"/>
  <c r="I105" i="1"/>
  <c r="J105" i="1"/>
  <c r="K105" i="1"/>
  <c r="L105" i="1"/>
  <c r="M105" i="1"/>
  <c r="O30" i="1" l="1"/>
  <c r="P30" i="1"/>
  <c r="Q30" i="1"/>
  <c r="R30" i="1"/>
  <c r="N30" i="1"/>
  <c r="O21" i="1"/>
  <c r="P21" i="1"/>
  <c r="Q21" i="1"/>
  <c r="R21" i="1"/>
  <c r="N21" i="1"/>
  <c r="N29" i="1"/>
  <c r="O29" i="1"/>
  <c r="P29" i="1"/>
  <c r="Q29" i="1"/>
  <c r="R29" i="1"/>
  <c r="N20" i="1"/>
  <c r="O20" i="1"/>
  <c r="P20" i="1"/>
  <c r="Q20" i="1"/>
  <c r="R20" i="1"/>
  <c r="O116" i="1" a="1"/>
  <c r="O116" i="1" s="1"/>
  <c r="O114" i="1"/>
  <c r="U101" i="1" a="1"/>
  <c r="U101" i="1" s="1"/>
  <c r="U95" i="1" a="1"/>
  <c r="U95" i="1" s="1"/>
  <c r="O111" i="1"/>
  <c r="U90" i="1"/>
  <c r="U89" i="1"/>
  <c r="U91" i="1" s="1"/>
  <c r="U87" i="1"/>
  <c r="U86" i="1"/>
  <c r="U85" i="1"/>
  <c r="S19" i="1"/>
  <c r="S16" i="1"/>
  <c r="V13" i="1"/>
  <c r="U13" i="1"/>
  <c r="T13" i="1"/>
  <c r="S13" i="1"/>
  <c r="V10" i="1"/>
  <c r="U10" i="1"/>
  <c r="T10" i="1"/>
  <c r="S10" i="1"/>
  <c r="V7" i="1"/>
  <c r="U7" i="1"/>
  <c r="T7" i="1"/>
  <c r="S7" i="1"/>
  <c r="U4" i="1"/>
  <c r="T4" i="1"/>
  <c r="S4" i="1"/>
  <c r="R4" i="1"/>
  <c r="Q4" i="1"/>
  <c r="P4" i="1"/>
  <c r="O4" i="1"/>
  <c r="N4" i="1"/>
  <c r="L9" i="1"/>
  <c r="M9" i="1"/>
  <c r="L13" i="1"/>
  <c r="M13" i="1"/>
  <c r="L20" i="1"/>
  <c r="M20" i="1"/>
  <c r="L29" i="1"/>
  <c r="M29" i="1"/>
  <c r="L35" i="1"/>
  <c r="M35" i="1"/>
  <c r="L80" i="1"/>
  <c r="M80" i="1"/>
  <c r="L89" i="1"/>
  <c r="M89" i="1"/>
  <c r="L106" i="1"/>
  <c r="M106" i="1"/>
  <c r="AT105" i="1"/>
  <c r="K106" i="1"/>
  <c r="V4" i="1" s="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V22" i="1" l="1"/>
  <c r="U22" i="1"/>
  <c r="T19" i="1"/>
  <c r="U19" i="1"/>
  <c r="U106" i="1"/>
  <c r="N105" i="1" s="1"/>
  <c r="O105" i="1" s="1"/>
  <c r="P105" i="1" s="1"/>
  <c r="Q105" i="1" s="1"/>
  <c r="R105" i="1" s="1"/>
  <c r="U99" i="1"/>
  <c r="V16" i="1"/>
  <c r="U16" i="1"/>
  <c r="T16" i="1"/>
  <c r="O112" i="1"/>
  <c r="U103" i="1"/>
  <c r="U102" i="1" s="1"/>
  <c r="U88" i="1"/>
  <c r="U92" i="1" s="1"/>
  <c r="V19" i="1" l="1"/>
  <c r="U100" i="1"/>
  <c r="U94" i="1" l="1"/>
  <c r="U97" i="1" s="1"/>
  <c r="U105" i="1" s="1"/>
  <c r="U108" i="1" s="1"/>
  <c r="R107" i="1" l="1"/>
  <c r="R108" i="1" s="1"/>
  <c r="O110" i="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<sst xmlns="http://schemas.openxmlformats.org/spreadsheetml/2006/main" count="513" uniqueCount="168">
  <si>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</si>
  <si>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</si>
  <si>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</si>
  <si>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</si>
  <si>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</si>
  <si>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</si>
  <si>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</si>
  <si>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</si>
  <si>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</si>
  <si>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</si>
  <si>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</si>
  <si>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</si>
  <si>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</si>
  <si>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</si>
  <si>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</si>
  <si>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</si>
  <si>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</si>
  <si>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</si>
  <si>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</si>
  <si>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</si>
  <si>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</si>
  <si>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</si>
  <si>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</si>
  <si>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</si>
  <si>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</si>
  <si>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</si>
  <si>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</si>
  <si>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</si>
  <si>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</si>
  <si>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</si>
  <si>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</si>
  <si>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</si>
  <si>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</si>
  <si>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</si>
  <si>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</si>
  <si>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</si>
  <si>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</si>
  <si>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</si>
  <si>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</si>
  <si>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</si>
  <si>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</si>
  <si>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</si>
  <si>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</si>
  <si>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</si>
  <si>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</si>
  <si>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</si>
  <si>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</si>
  <si>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</si>
  <si>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</si>
  <si>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</si>
  <si>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</si>
  <si>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</si>
  <si>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</si>
  <si>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</si>
  <si>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</si>
  <si>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</si>
  <si>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</si>
  <si>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</si>
  <si>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</si>
  <si>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</si>
  <si>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</si>
  <si>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</si>
  <si>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</si>
  <si>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</si>
  <si>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</si>
  <si>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</si>
  <si>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</si>
  <si>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</si>
  <si>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</si>
  <si>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</si>
  <si>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</si>
  <si>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</si>
  <si>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</si>
  <si>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</si>
  <si>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</si>
  <si>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</si>
  <si>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</si>
  <si>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</si>
  <si>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</si>
  <si>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</si>
  <si>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</si>
  <si>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</si>
  <si>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</si>
  <si>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</si>
  <si>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</si>
  <si>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</si>
  <si>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</si>
  <si>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</si>
  <si>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</si>
  <si>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</si>
  <si>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</si>
  <si>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</si>
  <si>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</si>
  <si>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</si>
  <si>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</si>
  <si>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</si>
  <si>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</si>
  <si>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</si>
  <si>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</si>
  <si>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</si>
  <si>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</si>
  <si>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</si>
  <si>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</si>
  <si>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</si>
  <si>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</si>
  <si>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</si>
  <si>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</si>
  <si>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</si>
  <si>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</si>
  <si>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</si>
  <si>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</si>
  <si>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</si>
  <si>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</si>
  <si>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</si>
  <si>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</si>
  <si>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</si>
  <si>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</si>
  <si>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</si>
  <si>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</si>
  <si>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</si>
  <si>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</si>
  <si>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</si>
  <si>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</si>
  <si>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</si>
  <si>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</si>
  <si>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</si>
  <si>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</si>
  <si>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</si>
  <si>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</si>
  <si>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</si>
  <si>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</si>
  <si>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</si>
  <si>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</si>
  <si>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</si>
  <si>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</si>
  <si>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</si>
  <si>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</si>
  <si>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</si>
  <si>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</si>
  <si>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</si>
  <si>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</si>
  <si>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</si>
  <si>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</si>
  <si>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</si>
  <si>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</si>
  <si>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</si>
  <si>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</si>
  <si>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</si>
  <si>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</si>
  <si>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</si>
  <si>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</si>
  <si>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</si>
  <si>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</si>
  <si>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</si>
  <si>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</si>
  <si>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</si>
  <si>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</si>
  <si>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</si>
  <si>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</si>
  <si>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</si>
  <si>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</si>
  <si>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Unlevered FCF</t>
  </si>
  <si>
    <t>Levered FCF</t>
  </si>
  <si>
    <t>Unlevered FCF Proj</t>
  </si>
  <si>
    <t>Unlevered FCF Forecast</t>
  </si>
  <si>
    <t>Dividend Yield</t>
  </si>
  <si>
    <t>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</si>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</sst>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5" fontId="10" fillId="0" borderId="12" xfId="0" applyNumberFormat="1" applyFont="1" applyBorder="1"/>
    <xf numFmtId="164" fontId="13" fillId="0" borderId="3" xfId="0" applyNumberFormat="1" applyFont="1" applyBorder="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70" fontId="11" fillId="0" borderId="8" xfId="0" applyNumberFormat="1" applyFont="1" applyBorder="1" applyAlignment="1">
      <alignment horizontal="center"/>
    </xf>
    <xf numFmtId="10" fontId="11" fillId="8" borderId="0" xfId="0" applyNumberFormat="1" applyFont="1" applyFill="1"/>
    <xf numFmtId="9" fontId="11" fillId="0" borderId="0" xfId="0" applyNumberFormat="1" applyFont="1"/>
    <xf numFmtId="10" fontId="11" fillId="0" borderId="5"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9"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Ferrari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83828382838278E-2"/>
          <c:y val="0.14952868528791749"/>
          <c:w val="0.85831023102310233"/>
          <c:h val="0.6832804287004928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1'!$C$3:$M$3</c:f>
              <c:numCache>
                <c:formatCode>#,###,,;\(#,###,,\);\ \-\ \-</c:formatCode>
                <c:ptCount val="11"/>
                <c:pt idx="0">
                  <c:v>2225207000</c:v>
                </c:pt>
                <c:pt idx="1">
                  <c:v>2335270000</c:v>
                </c:pt>
                <c:pt idx="2">
                  <c:v>2762360000</c:v>
                </c:pt>
                <c:pt idx="3">
                  <c:v>2854369000</c:v>
                </c:pt>
                <c:pt idx="4">
                  <c:v>3105084000</c:v>
                </c:pt>
                <c:pt idx="5">
                  <c:v>3416890000</c:v>
                </c:pt>
                <c:pt idx="6">
                  <c:v>3420321000</c:v>
                </c:pt>
                <c:pt idx="7">
                  <c:v>3766615000</c:v>
                </c:pt>
                <c:pt idx="8">
                  <c:v>3459790000</c:v>
                </c:pt>
                <c:pt idx="9">
                  <c:v>4270894000</c:v>
                </c:pt>
                <c:pt idx="10">
                  <c:v>5095254000</c:v>
                </c:pt>
              </c:numCache>
            </c:numRef>
          </c:val>
          <c:extLst>
            <c:ext xmlns:c16="http://schemas.microsoft.com/office/drawing/2014/chart" uri="{C3380CC4-5D6E-409C-BE32-E72D297353CC}">
              <c16:uniqueId val="{00000000-9EF3-5E4E-A518-0E949F82499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1'!$C$19:$M$19</c:f>
              <c:numCache>
                <c:formatCode>#,###,,;\(#,###,,\);\ \-\ \-</c:formatCode>
                <c:ptCount val="11"/>
                <c:pt idx="0">
                  <c:v>564052000</c:v>
                </c:pt>
                <c:pt idx="1">
                  <c:v>630902000</c:v>
                </c:pt>
                <c:pt idx="2">
                  <c:v>681913000</c:v>
                </c:pt>
                <c:pt idx="3">
                  <c:v>706688000</c:v>
                </c:pt>
                <c:pt idx="4">
                  <c:v>814114000</c:v>
                </c:pt>
                <c:pt idx="5">
                  <c:v>1004759000</c:v>
                </c:pt>
                <c:pt idx="6">
                  <c:v>1089743000</c:v>
                </c:pt>
                <c:pt idx="7">
                  <c:v>1224420000</c:v>
                </c:pt>
                <c:pt idx="8">
                  <c:v>1142828000</c:v>
                </c:pt>
                <c:pt idx="9">
                  <c:v>1534248000</c:v>
                </c:pt>
                <c:pt idx="10">
                  <c:v>1771507000</c:v>
                </c:pt>
              </c:numCache>
            </c:numRef>
          </c:val>
          <c:extLst>
            <c:ext xmlns:c16="http://schemas.microsoft.com/office/drawing/2014/chart" uri="{C3380CC4-5D6E-409C-BE32-E72D297353CC}">
              <c16:uniqueId val="{00000001-9EF3-5E4E-A518-0E949F82499D}"/>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1'!$C$107:$M$107</c:f>
              <c:numCache>
                <c:formatCode>#,###,,;\(#,###,,\);\ \-\ \-</c:formatCode>
                <c:ptCount val="11"/>
                <c:pt idx="0">
                  <c:v>204168000</c:v>
                </c:pt>
                <c:pt idx="1">
                  <c:v>183111000</c:v>
                </c:pt>
                <c:pt idx="2">
                  <c:v>96069000</c:v>
                </c:pt>
                <c:pt idx="3">
                  <c:v>351325000</c:v>
                </c:pt>
                <c:pt idx="4">
                  <c:v>663312000</c:v>
                </c:pt>
                <c:pt idx="5">
                  <c:v>271389000</c:v>
                </c:pt>
                <c:pt idx="6">
                  <c:v>295705000</c:v>
                </c:pt>
                <c:pt idx="7">
                  <c:v>600481000</c:v>
                </c:pt>
                <c:pt idx="8">
                  <c:v>129215000</c:v>
                </c:pt>
                <c:pt idx="9">
                  <c:v>545583000</c:v>
                </c:pt>
                <c:pt idx="10">
                  <c:v>598721000</c:v>
                </c:pt>
              </c:numCache>
            </c:numRef>
          </c:val>
          <c:extLst>
            <c:ext xmlns:c16="http://schemas.microsoft.com/office/drawing/2014/chart" uri="{C3380CC4-5D6E-409C-BE32-E72D297353CC}">
              <c16:uniqueId val="{00000002-9EF3-5E4E-A518-0E949F82499D}"/>
            </c:ext>
          </c:extLst>
        </c:ser>
        <c:dLbls>
          <c:showLegendKey val="0"/>
          <c:showVal val="0"/>
          <c:showCatName val="0"/>
          <c:showSerName val="0"/>
          <c:showPercent val="0"/>
          <c:showBubbleSize val="0"/>
        </c:dLbls>
        <c:gapWidth val="100"/>
        <c:overlap val="-24"/>
        <c:axId val="1045868784"/>
        <c:axId val="1045871056"/>
      </c:barChart>
      <c:catAx>
        <c:axId val="104586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1056"/>
        <c:crosses val="autoZero"/>
        <c:auto val="1"/>
        <c:lblAlgn val="ctr"/>
        <c:lblOffset val="100"/>
        <c:noMultiLvlLbl val="0"/>
      </c:catAx>
      <c:valAx>
        <c:axId val="10458710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5868784"/>
        <c:crosses val="autoZero"/>
        <c:crossBetween val="between"/>
      </c:valAx>
      <c:spPr>
        <a:noFill/>
        <a:ln>
          <a:noFill/>
        </a:ln>
        <a:effectLst/>
      </c:spPr>
    </c:plotArea>
    <c:legend>
      <c:legendPos val="b"/>
      <c:layout>
        <c:manualLayout>
          <c:xMode val="edge"/>
          <c:yMode val="edge"/>
          <c:x val="0.32891556872222655"/>
          <c:y val="0.92384539486167505"/>
          <c:w val="0.36329097476676803"/>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31750</xdr:colOff>
      <xdr:row>108</xdr:row>
      <xdr:rowOff>49213</xdr:rowOff>
    </xdr:from>
    <xdr:to>
      <xdr:col>21</xdr:col>
      <xdr:colOff>31750</xdr:colOff>
      <xdr:row>124</xdr:row>
      <xdr:rowOff>15875</xdr:rowOff>
    </xdr:to>
    <xdr:graphicFrame macro="">
      <xdr:nvGraphicFramePr>
        <xdr:cNvPr id="2" name="Chart 1">
          <a:extLst>
            <a:ext uri="{FF2B5EF4-FFF2-40B4-BE49-F238E27FC236}">
              <a16:creationId xmlns:a16="http://schemas.microsoft.com/office/drawing/2014/main" id="{39140435-8098-FAD8-EB50-EC0C4339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https://www.bing.com/financeapi/forcetrigger?t=ajg81h&amp;q=XMIL%3aRACE&amp;form=skydnc</v>
    <v>Learn more on Bing</v>
  </rv>
  <rv s="1">
    <v>0</v>
    <v>Ferrari NV (XMIL:RACE)</v>
    <v>2</v>
    <v>3</v>
    <v>Finance</v>
    <v>4</v>
    <v>en-US</v>
    <v>ajg81h</v>
    <v>268435456</v>
    <v>1</v>
    <v>Powered by Refinitiv</v>
    <v>300</v>
    <v>183</v>
    <v>0.60929999999999995</v>
    <v>-2.4</v>
    <v>-8.319E-3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Borsa Italiana</v>
    <v>XMIL</v>
    <v>XMIL</v>
    <v>Via Abetone Inferiore No. 4, MARANELLO, MODENA, 41053 IT</v>
    <v>288.10000000000002</v>
    <v>Automobiles &amp; Auto Parts</v>
    <v>Stock</v>
    <v>45149.33871527778</v>
    <v>0</v>
    <v>286.10000000000002</v>
    <v>54822170000</v>
    <v>Ferrari NV</v>
    <v>Ferrari NV</v>
    <v>287.39999999999998</v>
    <v>48.799100000000003</v>
    <v>288.5</v>
    <v>286.10000000000002</v>
    <v>193923500</v>
    <v>RACE</v>
    <v>Ferrari NV (XMIL:RACE)</v>
    <v>19613</v>
    <v>309840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finbox.com/NYSE:RACE/explorer/fcf_unlev_proj"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finbox.com/NYSE:RACE/explorer/revenue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L71" activePane="bottomRight" state="frozen"/>
      <selection pane="topRight"/>
      <selection pane="bottomLeft"/>
      <selection pane="bottomRight" activeCell="P77" activeCellId="1" sqref="N103:S104 P77"/>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t="s">
        <v>91</v>
      </c>
      <c r="C3" s="1">
        <v>2225207000</v>
      </c>
      <c r="D3" s="1">
        <v>2335270000</v>
      </c>
      <c r="E3" s="1">
        <v>2762360000</v>
      </c>
      <c r="F3" s="1">
        <v>2854369000</v>
      </c>
      <c r="G3" s="1">
        <v>3105084000</v>
      </c>
      <c r="H3" s="1">
        <v>3416890000</v>
      </c>
      <c r="I3" s="1">
        <v>3420321000</v>
      </c>
      <c r="J3" s="1">
        <v>3766615000</v>
      </c>
      <c r="K3" s="1">
        <v>3459790000</v>
      </c>
      <c r="L3" s="1">
        <v>4270894000</v>
      </c>
      <c r="M3" s="1">
        <v>5095254000</v>
      </c>
      <c r="N3" s="28">
        <v>6368000000</v>
      </c>
      <c r="O3" s="28">
        <v>6924000000</v>
      </c>
      <c r="P3" s="28">
        <v>7504000000</v>
      </c>
      <c r="Q3" s="28">
        <v>7906000000</v>
      </c>
      <c r="R3" s="28">
        <v>8268000000</v>
      </c>
      <c r="S3" s="18" t="s">
        <v>108</v>
      </c>
      <c r="T3" s="19" t="s">
        <v>109</v>
      </c>
      <c r="U3" s="19" t="s">
        <v>110</v>
      </c>
      <c r="V3" s="19" t="s">
        <v>111</v>
      </c>
    </row>
    <row r="4" spans="1:42" ht="19" x14ac:dyDescent="0.25">
      <c r="A4" s="14" t="s">
        <v>93</v>
      </c>
      <c r="B4" s="1"/>
      <c r="C4" s="67" t="e">
        <f>(C3/B3)-1</f>
        <v>#VALUE!</v>
      </c>
      <c r="D4" s="67">
        <f>(D3/C3)-1</f>
        <v>4.9461915228560693E-2</v>
      </c>
      <c r="E4" s="67">
        <f>(E3/D3)-1</f>
        <v>0.18288677540498521</v>
      </c>
      <c r="F4" s="67">
        <f t="shared" ref="F4:R4" si="0">(F3/E3)-1</f>
        <v>3.3308113352350954E-2</v>
      </c>
      <c r="G4" s="67">
        <f t="shared" si="0"/>
        <v>8.7835525119562385E-2</v>
      </c>
      <c r="H4" s="67">
        <f t="shared" si="0"/>
        <v>0.10041789529687439</v>
      </c>
      <c r="I4" s="67">
        <f t="shared" si="0"/>
        <v>1.0041294861702355E-3</v>
      </c>
      <c r="J4" s="67">
        <f t="shared" si="0"/>
        <v>0.10124605263657993</v>
      </c>
      <c r="K4" s="67">
        <f t="shared" si="0"/>
        <v>-8.1459081960858715E-2</v>
      </c>
      <c r="L4" s="67">
        <f t="shared" si="0"/>
        <v>0.23443735024380086</v>
      </c>
      <c r="M4" s="67">
        <f t="shared" si="0"/>
        <v>0.19301813624969388</v>
      </c>
      <c r="N4" s="16">
        <f t="shared" si="0"/>
        <v>0.24979049130818609</v>
      </c>
      <c r="O4" s="16">
        <f t="shared" si="0"/>
        <v>8.7311557788944727E-2</v>
      </c>
      <c r="P4" s="16">
        <f t="shared" si="0"/>
        <v>8.3766608896591599E-2</v>
      </c>
      <c r="Q4" s="16">
        <f t="shared" si="0"/>
        <v>5.3571428571428603E-2</v>
      </c>
      <c r="R4" s="16">
        <f t="shared" si="0"/>
        <v>4.578800910700731E-2</v>
      </c>
      <c r="S4" s="17">
        <f>(M4+L4+K4)/3</f>
        <v>0.11533213484421201</v>
      </c>
      <c r="T4" s="17">
        <f>(M20+L20+K20)/3</f>
        <v>0.14350195066012339</v>
      </c>
      <c r="U4" s="17">
        <f>(M29+L29+K29)/3</f>
        <v>0.12097571088747731</v>
      </c>
      <c r="V4" s="17">
        <f>(M106+L106+K106)/3</f>
        <v>0.84495699659054002</v>
      </c>
      <c r="AH4" s="16"/>
      <c r="AI4" s="16"/>
      <c r="AJ4" s="16"/>
      <c r="AK4" s="16"/>
      <c r="AL4" s="16"/>
      <c r="AM4" s="16"/>
      <c r="AN4" s="16"/>
      <c r="AO4" s="16"/>
      <c r="AP4" s="16"/>
    </row>
    <row r="5" spans="1:42" ht="19" x14ac:dyDescent="0.25">
      <c r="A5" s="5" t="s">
        <v>2</v>
      </c>
      <c r="B5" s="1" t="s">
        <v>91</v>
      </c>
      <c r="C5" s="1">
        <v>1198901000</v>
      </c>
      <c r="D5" s="1">
        <v>1234643000</v>
      </c>
      <c r="E5" s="1">
        <v>1505889000</v>
      </c>
      <c r="F5" s="1">
        <v>1498806000</v>
      </c>
      <c r="G5" s="1">
        <v>1579690000</v>
      </c>
      <c r="H5" s="1">
        <v>1650860000</v>
      </c>
      <c r="I5" s="1">
        <v>1622905000</v>
      </c>
      <c r="J5" s="1">
        <v>1805310000</v>
      </c>
      <c r="K5" s="1">
        <v>1686324000</v>
      </c>
      <c r="L5" s="1">
        <v>2080613000</v>
      </c>
      <c r="M5" s="1">
        <v>2648953000</v>
      </c>
    </row>
    <row r="6" spans="1:42" ht="20" x14ac:dyDescent="0.25">
      <c r="A6" s="6" t="s">
        <v>3</v>
      </c>
      <c r="B6" s="10" t="s">
        <v>91</v>
      </c>
      <c r="C6" s="10">
        <v>1026306000</v>
      </c>
      <c r="D6" s="10">
        <v>1100627000</v>
      </c>
      <c r="E6" s="10">
        <v>1256471000</v>
      </c>
      <c r="F6" s="10">
        <v>1355563000</v>
      </c>
      <c r="G6" s="10">
        <v>1525394000</v>
      </c>
      <c r="H6" s="10">
        <v>1766030000</v>
      </c>
      <c r="I6" s="10">
        <v>1797416000</v>
      </c>
      <c r="J6" s="10">
        <v>1961305000</v>
      </c>
      <c r="K6" s="10">
        <v>1773466000</v>
      </c>
      <c r="L6" s="10">
        <v>2190281000</v>
      </c>
      <c r="M6" s="10">
        <v>2446301000</v>
      </c>
      <c r="N6" s="16"/>
      <c r="S6" s="18" t="s">
        <v>112</v>
      </c>
      <c r="T6" s="19" t="s">
        <v>113</v>
      </c>
      <c r="U6" s="19" t="s">
        <v>114</v>
      </c>
      <c r="V6" s="19" t="s">
        <v>115</v>
      </c>
    </row>
    <row r="7" spans="1:42" ht="19" x14ac:dyDescent="0.25">
      <c r="A7" s="5" t="s">
        <v>4</v>
      </c>
      <c r="B7" s="2" t="s">
        <v>91</v>
      </c>
      <c r="C7" s="2">
        <v>0.4612</v>
      </c>
      <c r="D7" s="2">
        <v>0.4713</v>
      </c>
      <c r="E7" s="2">
        <v>0.45490000000000003</v>
      </c>
      <c r="F7" s="2">
        <v>0.47489999999999999</v>
      </c>
      <c r="G7" s="2">
        <v>0.49130000000000001</v>
      </c>
      <c r="H7" s="2">
        <v>0.51690000000000003</v>
      </c>
      <c r="I7" s="2">
        <v>0.52549999999999997</v>
      </c>
      <c r="J7" s="2">
        <v>0.52070000000000005</v>
      </c>
      <c r="K7" s="2">
        <v>0.51259999999999994</v>
      </c>
      <c r="L7" s="2">
        <v>0.51280000000000003</v>
      </c>
      <c r="M7" s="2">
        <v>0.48010000000000003</v>
      </c>
      <c r="N7" s="16"/>
      <c r="S7" s="17">
        <f>M7</f>
        <v>0.48010000000000003</v>
      </c>
      <c r="T7" s="20">
        <f>M21</f>
        <v>0.34770000000000001</v>
      </c>
      <c r="U7" s="20">
        <f>M30</f>
        <v>0.183</v>
      </c>
      <c r="V7" s="20">
        <f>M107/M3</f>
        <v>0.11750562386094981</v>
      </c>
    </row>
    <row r="8" spans="1:42" ht="19" x14ac:dyDescent="0.25">
      <c r="A8" s="5" t="s">
        <v>5</v>
      </c>
      <c r="B8" s="1" t="s">
        <v>91</v>
      </c>
      <c r="C8" s="1">
        <v>431456000</v>
      </c>
      <c r="D8" s="1">
        <v>479294000</v>
      </c>
      <c r="E8" s="1">
        <v>540833000</v>
      </c>
      <c r="F8" s="1">
        <v>561582000</v>
      </c>
      <c r="G8" s="1">
        <v>613635000</v>
      </c>
      <c r="H8" s="1">
        <v>657119000</v>
      </c>
      <c r="I8" s="1">
        <v>643038000</v>
      </c>
      <c r="J8" s="1">
        <v>699211000</v>
      </c>
      <c r="K8" s="1">
        <v>707385000</v>
      </c>
      <c r="L8" s="1">
        <v>768104000</v>
      </c>
      <c r="M8" s="1">
        <v>775572000</v>
      </c>
    </row>
    <row r="9" spans="1:42" ht="19" customHeight="1" x14ac:dyDescent="0.25">
      <c r="A9" s="14" t="s">
        <v>94</v>
      </c>
      <c r="B9" s="15" t="e">
        <f>B8/B3</f>
        <v>#VALUE!</v>
      </c>
      <c r="C9" s="15">
        <f t="shared" ref="C9:M9" si="1">C8/C3</f>
        <v>0.193894770239353</v>
      </c>
      <c r="D9" s="15">
        <f t="shared" si="1"/>
        <v>0.20524136395363277</v>
      </c>
      <c r="E9" s="15">
        <f t="shared" si="1"/>
        <v>0.19578657379921516</v>
      </c>
      <c r="F9" s="15">
        <f t="shared" si="1"/>
        <v>0.19674470960131643</v>
      </c>
      <c r="G9" s="15">
        <f t="shared" si="1"/>
        <v>0.19762267300981229</v>
      </c>
      <c r="H9" s="15">
        <f t="shared" si="1"/>
        <v>0.19231494136480834</v>
      </c>
      <c r="I9" s="15">
        <f t="shared" si="1"/>
        <v>0.18800516091910671</v>
      </c>
      <c r="J9" s="15">
        <f t="shared" si="1"/>
        <v>0.18563378524218696</v>
      </c>
      <c r="K9" s="15">
        <f t="shared" si="1"/>
        <v>0.20445894114960736</v>
      </c>
      <c r="L9" s="15">
        <f t="shared" si="1"/>
        <v>0.17984618677026404</v>
      </c>
      <c r="M9" s="15">
        <f t="shared" si="1"/>
        <v>0.15221459028342846</v>
      </c>
      <c r="N9" s="15"/>
      <c r="O9" s="15"/>
      <c r="P9" s="15"/>
      <c r="Q9" s="15"/>
      <c r="S9" s="18" t="s">
        <v>95</v>
      </c>
      <c r="T9" s="19" t="s">
        <v>96</v>
      </c>
      <c r="U9" s="19" t="s">
        <v>97</v>
      </c>
      <c r="V9" s="19" t="s">
        <v>98</v>
      </c>
      <c r="AH9" s="15"/>
      <c r="AI9" s="15"/>
      <c r="AJ9" s="15"/>
      <c r="AK9" s="15"/>
      <c r="AL9" s="15"/>
    </row>
    <row r="10" spans="1:42" ht="19" x14ac:dyDescent="0.25">
      <c r="A10" s="5" t="s">
        <v>6</v>
      </c>
      <c r="B10" s="1" t="s">
        <v>91</v>
      </c>
      <c r="C10" s="1" t="s">
        <v>91</v>
      </c>
      <c r="D10" s="1" t="s">
        <v>91</v>
      </c>
      <c r="E10" s="1" t="s">
        <v>91</v>
      </c>
      <c r="F10" s="1" t="s">
        <v>91</v>
      </c>
      <c r="G10" s="1" t="s">
        <v>91</v>
      </c>
      <c r="H10" s="1" t="s">
        <v>91</v>
      </c>
      <c r="I10" s="1" t="s">
        <v>91</v>
      </c>
      <c r="J10" s="1" t="s">
        <v>91</v>
      </c>
      <c r="K10" s="1" t="s">
        <v>91</v>
      </c>
      <c r="L10" s="1">
        <v>179558000</v>
      </c>
      <c r="M10" s="1">
        <v>200986000</v>
      </c>
      <c r="S10" s="17">
        <f>M9</f>
        <v>0.15221459028342846</v>
      </c>
      <c r="T10" s="20">
        <f>M13</f>
        <v>8.3994635007401008E-2</v>
      </c>
      <c r="U10" s="20">
        <f>M80</f>
        <v>0</v>
      </c>
      <c r="V10" s="20">
        <f>M89</f>
        <v>6.8244880431868563E-2</v>
      </c>
    </row>
    <row r="11" spans="1:42" ht="19" x14ac:dyDescent="0.25">
      <c r="A11" s="5" t="s">
        <v>7</v>
      </c>
      <c r="B11" s="1" t="s">
        <v>91</v>
      </c>
      <c r="C11" s="1" t="s">
        <v>91</v>
      </c>
      <c r="D11" s="1" t="s">
        <v>91</v>
      </c>
      <c r="E11" s="1" t="s">
        <v>91</v>
      </c>
      <c r="F11" s="1" t="s">
        <v>91</v>
      </c>
      <c r="G11" s="1" t="s">
        <v>91</v>
      </c>
      <c r="H11" s="1" t="s">
        <v>91</v>
      </c>
      <c r="I11" s="1" t="s">
        <v>91</v>
      </c>
      <c r="J11" s="1" t="s">
        <v>91</v>
      </c>
      <c r="K11" s="1" t="s">
        <v>91</v>
      </c>
      <c r="L11" s="1">
        <v>168466000</v>
      </c>
      <c r="M11" s="1">
        <v>226988000</v>
      </c>
    </row>
    <row r="12" spans="1:42" ht="20" x14ac:dyDescent="0.25">
      <c r="A12" s="5" t="s">
        <v>8</v>
      </c>
      <c r="B12" s="1" t="s">
        <v>91</v>
      </c>
      <c r="C12" s="1" t="s">
        <v>91</v>
      </c>
      <c r="D12" s="1" t="s">
        <v>91</v>
      </c>
      <c r="E12" s="1" t="s">
        <v>91</v>
      </c>
      <c r="F12" s="1" t="s">
        <v>91</v>
      </c>
      <c r="G12" s="1" t="s">
        <v>91</v>
      </c>
      <c r="H12" s="1" t="s">
        <v>91</v>
      </c>
      <c r="I12" s="1" t="s">
        <v>91</v>
      </c>
      <c r="J12" s="1" t="s">
        <v>91</v>
      </c>
      <c r="K12" s="1" t="s">
        <v>91</v>
      </c>
      <c r="L12" s="1">
        <v>348024000</v>
      </c>
      <c r="M12" s="1">
        <v>427974000</v>
      </c>
      <c r="S12" s="18" t="s">
        <v>116</v>
      </c>
      <c r="T12" s="19" t="s">
        <v>117</v>
      </c>
      <c r="U12" s="19" t="s">
        <v>118</v>
      </c>
      <c r="V12" s="19" t="s">
        <v>119</v>
      </c>
    </row>
    <row r="13" spans="1:42" ht="19" x14ac:dyDescent="0.25">
      <c r="A13" s="14" t="s">
        <v>99</v>
      </c>
      <c r="B13" s="15" t="e">
        <f>B12/B3</f>
        <v>#VALUE!</v>
      </c>
      <c r="C13" s="15" t="e">
        <f t="shared" ref="C13: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f t="shared" si="2"/>
        <v>8.148738882304267E-2</v>
      </c>
      <c r="M13" s="15">
        <f t="shared" si="2"/>
        <v>8.3994635007401008E-2</v>
      </c>
      <c r="N13" s="15"/>
      <c r="O13" s="15"/>
      <c r="P13" s="15"/>
      <c r="Q13" s="15"/>
      <c r="S13" s="17">
        <f>M28/M72</f>
        <v>0.35968586003778841</v>
      </c>
      <c r="T13" s="20">
        <f>M28/M54</f>
        <v>0.12009210099174292</v>
      </c>
      <c r="U13" s="20">
        <f>M22/(M72+M56+M61)</f>
        <v>0.22994240500192797</v>
      </c>
      <c r="V13" s="21">
        <f>M67/M72</f>
        <v>1.9913693659156675</v>
      </c>
      <c r="AH13" s="15"/>
      <c r="AI13" s="15"/>
      <c r="AJ13" s="15"/>
      <c r="AK13" s="15"/>
      <c r="AL13" s="15"/>
    </row>
    <row r="14" spans="1:42" ht="19" x14ac:dyDescent="0.25">
      <c r="A14" s="5" t="s">
        <v>9</v>
      </c>
      <c r="B14" s="1" t="s">
        <v>91</v>
      </c>
      <c r="C14" s="1">
        <v>242819000</v>
      </c>
      <c r="D14" s="1">
        <v>259880000</v>
      </c>
      <c r="E14" s="1">
        <v>300090000</v>
      </c>
      <c r="F14" s="1">
        <v>338626000</v>
      </c>
      <c r="G14" s="1">
        <v>295242000</v>
      </c>
      <c r="H14" s="1">
        <v>329065000</v>
      </c>
      <c r="I14" s="1">
        <v>327341000</v>
      </c>
      <c r="J14" s="1">
        <v>343179000</v>
      </c>
      <c r="K14" s="1">
        <v>336126000</v>
      </c>
      <c r="L14" s="1" t="s">
        <v>91</v>
      </c>
      <c r="M14" s="1" t="s">
        <v>91</v>
      </c>
    </row>
    <row r="15" spans="1:42" ht="20" x14ac:dyDescent="0.25">
      <c r="A15" s="5" t="s">
        <v>10</v>
      </c>
      <c r="B15" s="1" t="s">
        <v>91</v>
      </c>
      <c r="C15" s="1">
        <v>674275000</v>
      </c>
      <c r="D15" s="1">
        <v>739174000</v>
      </c>
      <c r="E15" s="1">
        <v>840923000</v>
      </c>
      <c r="F15" s="1">
        <v>900208000</v>
      </c>
      <c r="G15" s="1">
        <v>908877000</v>
      </c>
      <c r="H15" s="1">
        <v>986184000</v>
      </c>
      <c r="I15" s="1">
        <v>970379000</v>
      </c>
      <c r="J15" s="1">
        <v>1042390000</v>
      </c>
      <c r="K15" s="1">
        <v>1043511000</v>
      </c>
      <c r="L15" s="1">
        <v>1116128000</v>
      </c>
      <c r="M15" s="1">
        <v>1203546000</v>
      </c>
      <c r="S15" s="18" t="s">
        <v>120</v>
      </c>
      <c r="T15" s="19" t="s">
        <v>121</v>
      </c>
      <c r="U15" s="19" t="s">
        <v>122</v>
      </c>
      <c r="V15" s="19" t="s">
        <v>123</v>
      </c>
    </row>
    <row r="16" spans="1:42" ht="19" x14ac:dyDescent="0.25">
      <c r="A16" s="5" t="s">
        <v>11</v>
      </c>
      <c r="B16" s="1" t="s">
        <v>91</v>
      </c>
      <c r="C16" s="1">
        <v>1873176000</v>
      </c>
      <c r="D16" s="1">
        <v>1973817000</v>
      </c>
      <c r="E16" s="1">
        <v>2346812000</v>
      </c>
      <c r="F16" s="1">
        <v>2399014000</v>
      </c>
      <c r="G16" s="1">
        <v>2488567000</v>
      </c>
      <c r="H16" s="1">
        <v>2637044000</v>
      </c>
      <c r="I16" s="1">
        <v>2593284000</v>
      </c>
      <c r="J16" s="1">
        <v>2847700000</v>
      </c>
      <c r="K16" s="1">
        <v>2729835000</v>
      </c>
      <c r="L16" s="1">
        <v>3196741000</v>
      </c>
      <c r="M16" s="1">
        <v>3852499000</v>
      </c>
      <c r="S16" s="29">
        <f>(M35+L35+K35+J35+I35)/5</f>
        <v>-5.2652989868840188E-3</v>
      </c>
      <c r="T16" s="41">
        <f>U101/M3</f>
        <v>10.759457722814211</v>
      </c>
      <c r="U16" s="41">
        <f>U101/M28</f>
        <v>58.783344449043227</v>
      </c>
      <c r="V16" s="42">
        <f>U101/M107</f>
        <v>91.565470394390715</v>
      </c>
    </row>
    <row r="17" spans="1:47" ht="19" x14ac:dyDescent="0.25">
      <c r="A17" s="5" t="s">
        <v>12</v>
      </c>
      <c r="B17" s="1" t="s">
        <v>91</v>
      </c>
      <c r="C17" s="1" t="s">
        <v>91</v>
      </c>
      <c r="D17" s="1">
        <v>-423000</v>
      </c>
      <c r="E17" s="1">
        <v>-1658000</v>
      </c>
      <c r="F17" s="1" t="s">
        <v>91</v>
      </c>
      <c r="G17" s="1" t="s">
        <v>91</v>
      </c>
      <c r="H17" s="1" t="s">
        <v>91</v>
      </c>
      <c r="I17" s="1" t="s">
        <v>91</v>
      </c>
      <c r="J17" s="1" t="s">
        <v>91</v>
      </c>
      <c r="K17" s="1">
        <v>50219000</v>
      </c>
      <c r="L17" s="1">
        <v>38397000</v>
      </c>
      <c r="M17" s="1">
        <v>54196000</v>
      </c>
    </row>
    <row r="18" spans="1:47" ht="20" x14ac:dyDescent="0.25">
      <c r="A18" s="5" t="s">
        <v>13</v>
      </c>
      <c r="B18" s="1" t="s">
        <v>91</v>
      </c>
      <c r="C18" s="1">
        <v>237540000</v>
      </c>
      <c r="D18" s="1">
        <v>270250000</v>
      </c>
      <c r="E18" s="1">
        <v>288982000</v>
      </c>
      <c r="F18" s="1">
        <v>274757000</v>
      </c>
      <c r="G18" s="1">
        <v>247717000</v>
      </c>
      <c r="H18" s="1">
        <v>260606000</v>
      </c>
      <c r="I18" s="1">
        <v>288748000</v>
      </c>
      <c r="J18" s="1">
        <v>351946000</v>
      </c>
      <c r="K18" s="1">
        <v>426637000</v>
      </c>
      <c r="L18" s="1">
        <v>455989000</v>
      </c>
      <c r="M18" s="1">
        <v>546225000</v>
      </c>
      <c r="S18" s="18" t="s">
        <v>124</v>
      </c>
      <c r="T18" s="19" t="s">
        <v>158</v>
      </c>
      <c r="U18" s="19" t="s">
        <v>159</v>
      </c>
      <c r="V18" s="19" t="s">
        <v>160</v>
      </c>
    </row>
    <row r="19" spans="1:47" ht="19" x14ac:dyDescent="0.25">
      <c r="A19" s="6" t="s">
        <v>14</v>
      </c>
      <c r="B19" s="10" t="s">
        <v>91</v>
      </c>
      <c r="C19" s="10">
        <v>564052000</v>
      </c>
      <c r="D19" s="10">
        <v>630902000</v>
      </c>
      <c r="E19" s="10">
        <v>681913000</v>
      </c>
      <c r="F19" s="10">
        <v>706688000</v>
      </c>
      <c r="G19" s="10">
        <v>814114000</v>
      </c>
      <c r="H19" s="10">
        <v>1004759000</v>
      </c>
      <c r="I19" s="10">
        <v>1089743000</v>
      </c>
      <c r="J19" s="10">
        <v>1224420000</v>
      </c>
      <c r="K19" s="10">
        <v>1142828000</v>
      </c>
      <c r="L19" s="10">
        <v>1534248000</v>
      </c>
      <c r="M19" s="10">
        <v>1771507000</v>
      </c>
      <c r="N19" s="34">
        <v>2436000000</v>
      </c>
      <c r="O19" s="34">
        <v>2702000000</v>
      </c>
      <c r="P19" s="34">
        <v>2915000000</v>
      </c>
      <c r="Q19" s="34">
        <v>3072000000</v>
      </c>
      <c r="R19" s="34">
        <v>3147000000</v>
      </c>
      <c r="S19" s="30">
        <f>M40-M56-M61</f>
        <v>-1415810000</v>
      </c>
      <c r="T19" s="41">
        <f>U101/N3</f>
        <v>8.6090091080402011</v>
      </c>
      <c r="U19" s="41">
        <f>U101/N28</f>
        <v>42.863307271305708</v>
      </c>
      <c r="V19" s="42">
        <f>U101/N105</f>
        <v>47.588780608772971</v>
      </c>
    </row>
    <row r="20" spans="1:47" ht="19" customHeight="1" x14ac:dyDescent="0.25">
      <c r="A20" s="14" t="s">
        <v>100</v>
      </c>
      <c r="B20" s="1"/>
      <c r="C20" s="15" t="e">
        <f>(C19/B19)-1</f>
        <v>#VALUE!</v>
      </c>
      <c r="D20" s="15">
        <f>(D19/C19)-1</f>
        <v>0.11851744165431555</v>
      </c>
      <c r="E20" s="15">
        <f>(E19/D19)-1</f>
        <v>8.0854078763421322E-2</v>
      </c>
      <c r="F20" s="15">
        <f t="shared" ref="F20:K20" si="3">(F19/E19)-1</f>
        <v>3.6331614150192149E-2</v>
      </c>
      <c r="G20" s="15">
        <f t="shared" si="3"/>
        <v>0.15201333544647699</v>
      </c>
      <c r="H20" s="15">
        <f t="shared" si="3"/>
        <v>0.23417482072535289</v>
      </c>
      <c r="I20" s="15">
        <f t="shared" si="3"/>
        <v>8.4581476752136675E-2</v>
      </c>
      <c r="J20" s="15">
        <f t="shared" si="3"/>
        <v>0.12358601982302253</v>
      </c>
      <c r="K20" s="15">
        <f t="shared" si="3"/>
        <v>-6.6637264990771161E-2</v>
      </c>
      <c r="L20" s="15">
        <f t="shared" ref="L20" si="4">(L19/K19)-1</f>
        <v>0.34250123378146147</v>
      </c>
      <c r="M20" s="15">
        <f t="shared" ref="M20" si="5">(M19/L19)-1</f>
        <v>0.15464188318967986</v>
      </c>
      <c r="N20" s="16">
        <f t="shared" ref="N20" si="6">(N19/M19)-1</f>
        <v>0.37510040886093021</v>
      </c>
      <c r="O20" s="16">
        <f t="shared" ref="O20" si="7">(O19/N19)-1</f>
        <v>0.10919540229885061</v>
      </c>
      <c r="P20" s="16">
        <f t="shared" ref="P20" si="8">(P19/O19)-1</f>
        <v>7.8830495928941424E-2</v>
      </c>
      <c r="Q20" s="16">
        <f t="shared" ref="Q20" si="9">(Q19/P19)-1</f>
        <v>5.3859348198970869E-2</v>
      </c>
      <c r="R20" s="16">
        <f t="shared" ref="R20" si="10">(R19/Q19)-1</f>
        <v>2.44140625E-2</v>
      </c>
      <c r="S20" s="15"/>
      <c r="T20" s="15"/>
      <c r="U20" s="15"/>
      <c r="V20" s="15"/>
      <c r="AH20" s="15"/>
      <c r="AI20" s="15"/>
      <c r="AJ20" s="15"/>
      <c r="AK20" s="15"/>
      <c r="AL20" s="15"/>
      <c r="AT20" s="15"/>
      <c r="AU20" s="15"/>
    </row>
    <row r="21" spans="1:47" ht="20" x14ac:dyDescent="0.25">
      <c r="A21" s="5" t="s">
        <v>15</v>
      </c>
      <c r="B21" s="2" t="s">
        <v>91</v>
      </c>
      <c r="C21" s="2">
        <v>0.2535</v>
      </c>
      <c r="D21" s="2">
        <v>0.2702</v>
      </c>
      <c r="E21" s="2">
        <v>0.24690000000000001</v>
      </c>
      <c r="F21" s="2">
        <v>0.24759999999999999</v>
      </c>
      <c r="G21" s="2">
        <v>0.26219999999999999</v>
      </c>
      <c r="H21" s="2">
        <v>0.29409999999999997</v>
      </c>
      <c r="I21" s="2">
        <v>0.31859999999999999</v>
      </c>
      <c r="J21" s="2">
        <v>0.3251</v>
      </c>
      <c r="K21" s="2">
        <v>0.33029999999999998</v>
      </c>
      <c r="L21" s="2">
        <v>0.35920000000000002</v>
      </c>
      <c r="M21" s="2">
        <v>0.34770000000000001</v>
      </c>
      <c r="N21" s="36">
        <f>N19/N3</f>
        <v>0.38253768844221103</v>
      </c>
      <c r="O21" s="36">
        <f t="shared" ref="O21:R21" si="11">O19/O3</f>
        <v>0.39023685730791452</v>
      </c>
      <c r="P21" s="36">
        <f t="shared" si="11"/>
        <v>0.38845948827292109</v>
      </c>
      <c r="Q21" s="36">
        <f t="shared" si="11"/>
        <v>0.38856564634454843</v>
      </c>
      <c r="R21" s="36">
        <f t="shared" si="11"/>
        <v>0.38062409288824384</v>
      </c>
      <c r="U21" s="18" t="s">
        <v>165</v>
      </c>
      <c r="V21" s="19" t="s">
        <v>166</v>
      </c>
    </row>
    <row r="22" spans="1:47" ht="19" x14ac:dyDescent="0.25">
      <c r="A22" s="6" t="s">
        <v>16</v>
      </c>
      <c r="B22" s="10" t="s">
        <v>91</v>
      </c>
      <c r="C22" s="10">
        <v>352031000</v>
      </c>
      <c r="D22" s="10">
        <v>361453000</v>
      </c>
      <c r="E22" s="10">
        <v>415548000</v>
      </c>
      <c r="F22" s="10">
        <v>455355000</v>
      </c>
      <c r="G22" s="10">
        <v>616517000</v>
      </c>
      <c r="H22" s="10">
        <v>779846000</v>
      </c>
      <c r="I22" s="10">
        <v>827037000</v>
      </c>
      <c r="J22" s="10">
        <v>918915000</v>
      </c>
      <c r="K22" s="10">
        <v>729955000</v>
      </c>
      <c r="L22" s="10">
        <v>1074153000</v>
      </c>
      <c r="M22" s="10">
        <v>1242755000</v>
      </c>
      <c r="U22" s="68">
        <f>(-1*M98)/U101</f>
        <v>4.5514798119082114E-3</v>
      </c>
      <c r="V22" s="65">
        <f>M107/U101</f>
        <v>1.0921147411713182E-2</v>
      </c>
    </row>
    <row r="23" spans="1:47" ht="19" x14ac:dyDescent="0.25">
      <c r="A23" s="5" t="s">
        <v>17</v>
      </c>
      <c r="B23" s="2" t="s">
        <v>91</v>
      </c>
      <c r="C23" s="2">
        <v>0.15820000000000001</v>
      </c>
      <c r="D23" s="2">
        <v>0.15479999999999999</v>
      </c>
      <c r="E23" s="2">
        <v>0.15040000000000001</v>
      </c>
      <c r="F23" s="2">
        <v>0.1595</v>
      </c>
      <c r="G23" s="2">
        <v>0.1986</v>
      </c>
      <c r="H23" s="2">
        <v>0.22819999999999999</v>
      </c>
      <c r="I23" s="2">
        <v>0.24179999999999999</v>
      </c>
      <c r="J23" s="2">
        <v>0.24399999999999999</v>
      </c>
      <c r="K23" s="2">
        <v>0.21099999999999999</v>
      </c>
      <c r="L23" s="2">
        <v>0.2515</v>
      </c>
      <c r="M23" s="2">
        <v>0.24390000000000001</v>
      </c>
    </row>
    <row r="24" spans="1:47" ht="19" x14ac:dyDescent="0.25">
      <c r="A24" s="5" t="s">
        <v>18</v>
      </c>
      <c r="B24" s="1" t="s">
        <v>91</v>
      </c>
      <c r="C24" s="1">
        <v>-17432000</v>
      </c>
      <c r="D24" s="1">
        <v>4947000</v>
      </c>
      <c r="E24" s="1">
        <v>-17315000</v>
      </c>
      <c r="F24" s="1">
        <v>-21186000</v>
      </c>
      <c r="G24" s="1">
        <v>-49164000</v>
      </c>
      <c r="H24" s="1">
        <v>-33690000</v>
      </c>
      <c r="I24" s="1">
        <v>-24093000</v>
      </c>
      <c r="J24" s="1">
        <v>-43551000</v>
      </c>
      <c r="K24" s="1">
        <v>-62920000</v>
      </c>
      <c r="L24" s="1">
        <v>-31922000</v>
      </c>
      <c r="M24" s="1">
        <v>-64989000</v>
      </c>
    </row>
    <row r="25" spans="1:47" ht="19" x14ac:dyDescent="0.25">
      <c r="A25" s="6" t="s">
        <v>19</v>
      </c>
      <c r="B25" s="10" t="s">
        <v>91</v>
      </c>
      <c r="C25" s="10">
        <v>334599000</v>
      </c>
      <c r="D25" s="10">
        <v>366400000</v>
      </c>
      <c r="E25" s="10">
        <v>398233000</v>
      </c>
      <c r="F25" s="10">
        <v>434169000</v>
      </c>
      <c r="G25" s="10">
        <v>567353000</v>
      </c>
      <c r="H25" s="10">
        <v>746156000</v>
      </c>
      <c r="I25" s="10">
        <v>802944000</v>
      </c>
      <c r="J25" s="10">
        <v>875364000</v>
      </c>
      <c r="K25" s="10">
        <v>667035000</v>
      </c>
      <c r="L25" s="10">
        <v>1042231000</v>
      </c>
      <c r="M25" s="10">
        <v>1177766000</v>
      </c>
    </row>
    <row r="26" spans="1:47" ht="19" x14ac:dyDescent="0.25">
      <c r="A26" s="5" t="s">
        <v>20</v>
      </c>
      <c r="B26" s="2" t="s">
        <v>91</v>
      </c>
      <c r="C26" s="2">
        <v>0.15040000000000001</v>
      </c>
      <c r="D26" s="2">
        <v>0.15690000000000001</v>
      </c>
      <c r="E26" s="2">
        <v>0.14419999999999999</v>
      </c>
      <c r="F26" s="2">
        <v>0.15210000000000001</v>
      </c>
      <c r="G26" s="2">
        <v>0.1827</v>
      </c>
      <c r="H26" s="2">
        <v>0.21840000000000001</v>
      </c>
      <c r="I26" s="2">
        <v>0.23480000000000001</v>
      </c>
      <c r="J26" s="2">
        <v>0.2324</v>
      </c>
      <c r="K26" s="2">
        <v>0.1928</v>
      </c>
      <c r="L26" s="2">
        <v>0.24399999999999999</v>
      </c>
      <c r="M26" s="2">
        <v>0.2311</v>
      </c>
    </row>
    <row r="27" spans="1:47" ht="19" x14ac:dyDescent="0.25">
      <c r="A27" s="5" t="s">
        <v>21</v>
      </c>
      <c r="B27" s="1" t="s">
        <v>91</v>
      </c>
      <c r="C27" s="1">
        <v>101109000</v>
      </c>
      <c r="D27" s="1">
        <v>120301000</v>
      </c>
      <c r="E27" s="1">
        <v>133218000</v>
      </c>
      <c r="F27" s="1">
        <v>144115000</v>
      </c>
      <c r="G27" s="1">
        <v>167635000</v>
      </c>
      <c r="H27" s="1">
        <v>208760000</v>
      </c>
      <c r="I27" s="1">
        <v>16317000</v>
      </c>
      <c r="J27" s="1">
        <v>176656000</v>
      </c>
      <c r="K27" s="1">
        <v>58155000</v>
      </c>
      <c r="L27" s="1">
        <v>209095000</v>
      </c>
      <c r="M27" s="1">
        <v>238472000</v>
      </c>
    </row>
    <row r="28" spans="1:47" ht="20" thickBot="1" x14ac:dyDescent="0.3">
      <c r="A28" s="7" t="s">
        <v>22</v>
      </c>
      <c r="B28" s="11" t="s">
        <v>91</v>
      </c>
      <c r="C28" s="11">
        <v>225403000</v>
      </c>
      <c r="D28" s="11">
        <v>240774000</v>
      </c>
      <c r="E28" s="11">
        <v>261371000</v>
      </c>
      <c r="F28" s="11">
        <v>287816000</v>
      </c>
      <c r="G28" s="11">
        <v>398762000</v>
      </c>
      <c r="H28" s="11">
        <v>535393000</v>
      </c>
      <c r="I28" s="11">
        <v>784678000</v>
      </c>
      <c r="J28" s="11">
        <v>695818000</v>
      </c>
      <c r="K28" s="11">
        <v>607817000</v>
      </c>
      <c r="L28" s="11">
        <v>830767000</v>
      </c>
      <c r="M28" s="11">
        <v>932614000</v>
      </c>
      <c r="N28" s="37">
        <v>1279000000</v>
      </c>
      <c r="O28" s="37">
        <v>1444000000</v>
      </c>
      <c r="P28" s="37">
        <v>1587000000</v>
      </c>
      <c r="Q28" s="37">
        <v>1709000000</v>
      </c>
      <c r="R28" s="37">
        <v>1670000000</v>
      </c>
    </row>
    <row r="29" spans="1:47" ht="20" customHeight="1" thickTop="1" x14ac:dyDescent="0.25">
      <c r="A29" s="14" t="s">
        <v>101</v>
      </c>
      <c r="B29" s="1"/>
      <c r="C29" s="15" t="e">
        <f>(C28/B28)-1</f>
        <v>#VALUE!</v>
      </c>
      <c r="D29" s="15">
        <f>(D28/C28)-1</f>
        <v>6.8193413574797246E-2</v>
      </c>
      <c r="E29" s="15">
        <f>(E28/D28)-1</f>
        <v>8.5544950866788039E-2</v>
      </c>
      <c r="F29" s="15">
        <f t="shared" ref="F29:K29" si="12">(F28/E28)-1</f>
        <v>0.10117801898450862</v>
      </c>
      <c r="G29" s="15">
        <f t="shared" si="12"/>
        <v>0.38547544264391131</v>
      </c>
      <c r="H29" s="15">
        <f t="shared" si="12"/>
        <v>0.34263796450012785</v>
      </c>
      <c r="I29" s="15">
        <f t="shared" si="12"/>
        <v>0.4656112425825516</v>
      </c>
      <c r="J29" s="15">
        <f t="shared" si="12"/>
        <v>-0.11324390386884808</v>
      </c>
      <c r="K29" s="15">
        <f t="shared" si="12"/>
        <v>-0.12647128990626855</v>
      </c>
      <c r="L29" s="15">
        <f t="shared" ref="L29" si="13">(L28/K28)-1</f>
        <v>0.36680448227015705</v>
      </c>
      <c r="M29" s="15">
        <f t="shared" ref="M29" si="14">(M28/L28)-1</f>
        <v>0.12259394029854342</v>
      </c>
      <c r="N29" s="16">
        <f t="shared" ref="N29" si="15">(N28/M28)-1</f>
        <v>0.3714141113043552</v>
      </c>
      <c r="O29" s="16">
        <f t="shared" ref="O29" si="16">(O28/N28)-1</f>
        <v>0.12900703674745895</v>
      </c>
      <c r="P29" s="16">
        <f t="shared" ref="P29" si="17">(P28/O28)-1</f>
        <v>9.9030470914127422E-2</v>
      </c>
      <c r="Q29" s="16">
        <f t="shared" ref="Q29" si="18">(Q28/P28)-1</f>
        <v>7.6874606175173277E-2</v>
      </c>
      <c r="R29" s="16">
        <f t="shared" ref="R29" si="19">(R28/Q28)-1</f>
        <v>-2.2820362785254567E-2</v>
      </c>
      <c r="S29" s="15"/>
      <c r="T29" s="15"/>
      <c r="U29" s="15"/>
      <c r="V29" s="15"/>
      <c r="AH29" s="15"/>
      <c r="AI29" s="15"/>
      <c r="AJ29" s="15"/>
      <c r="AK29" s="15"/>
      <c r="AL29" s="15"/>
      <c r="AT29" s="15"/>
      <c r="AU29" s="15"/>
    </row>
    <row r="30" spans="1:47" ht="19" x14ac:dyDescent="0.25">
      <c r="A30" s="5" t="s">
        <v>23</v>
      </c>
      <c r="B30" s="2" t="s">
        <v>91</v>
      </c>
      <c r="C30" s="2">
        <v>0.1013</v>
      </c>
      <c r="D30" s="2">
        <v>0.1031</v>
      </c>
      <c r="E30" s="2">
        <v>9.4600000000000004E-2</v>
      </c>
      <c r="F30" s="2">
        <v>0.1008</v>
      </c>
      <c r="G30" s="2">
        <v>0.12839999999999999</v>
      </c>
      <c r="H30" s="2">
        <v>0.15670000000000001</v>
      </c>
      <c r="I30" s="2">
        <v>0.22939999999999999</v>
      </c>
      <c r="J30" s="2">
        <v>0.1847</v>
      </c>
      <c r="K30" s="2">
        <v>0.1757</v>
      </c>
      <c r="L30" s="2">
        <v>0.19450000000000001</v>
      </c>
      <c r="M30" s="2">
        <v>0.183</v>
      </c>
      <c r="N30" s="35">
        <f>N28/N3</f>
        <v>0.20084798994974876</v>
      </c>
      <c r="O30" s="35">
        <f t="shared" ref="O30:R30" si="20">O28/O3</f>
        <v>0.20854997111496246</v>
      </c>
      <c r="P30" s="35">
        <f t="shared" si="20"/>
        <v>0.21148720682302771</v>
      </c>
      <c r="Q30" s="35">
        <f t="shared" si="20"/>
        <v>0.21616493802175563</v>
      </c>
      <c r="R30" s="35">
        <f t="shared" si="20"/>
        <v>0.20198355104015481</v>
      </c>
    </row>
    <row r="31" spans="1:47" ht="19" x14ac:dyDescent="0.25">
      <c r="A31" s="5" t="s">
        <v>24</v>
      </c>
      <c r="B31" s="12" t="s">
        <v>91</v>
      </c>
      <c r="C31" s="12">
        <v>1.19</v>
      </c>
      <c r="D31" s="12">
        <v>1.27</v>
      </c>
      <c r="E31" s="12">
        <v>1.38</v>
      </c>
      <c r="F31" s="12">
        <v>1.52</v>
      </c>
      <c r="G31" s="12">
        <v>2.11</v>
      </c>
      <c r="H31" s="12">
        <v>2.83</v>
      </c>
      <c r="I31" s="12">
        <v>4.16</v>
      </c>
      <c r="J31" s="12">
        <v>3.73</v>
      </c>
      <c r="K31" s="12">
        <v>3.29</v>
      </c>
      <c r="L31" s="12">
        <v>4.5</v>
      </c>
      <c r="M31" s="12">
        <v>5.05</v>
      </c>
      <c r="N31" s="38">
        <v>7.05</v>
      </c>
      <c r="O31" s="38">
        <v>7.97</v>
      </c>
      <c r="P31" s="38">
        <v>8.75</v>
      </c>
      <c r="Q31" s="38">
        <v>9.43</v>
      </c>
      <c r="R31" s="38">
        <v>9.2100000000000009</v>
      </c>
    </row>
    <row r="32" spans="1:47" ht="19" x14ac:dyDescent="0.25">
      <c r="A32" s="5" t="s">
        <v>25</v>
      </c>
      <c r="B32" s="12" t="s">
        <v>91</v>
      </c>
      <c r="C32" s="12">
        <v>1.19</v>
      </c>
      <c r="D32" s="12">
        <v>1.27</v>
      </c>
      <c r="E32" s="12">
        <v>1.38</v>
      </c>
      <c r="F32" s="12">
        <v>1.52</v>
      </c>
      <c r="G32" s="12">
        <v>2.11</v>
      </c>
      <c r="H32" s="12">
        <v>2.82</v>
      </c>
      <c r="I32" s="12">
        <v>4.1399999999999997</v>
      </c>
      <c r="J32" s="12">
        <v>3.71</v>
      </c>
      <c r="K32" s="12">
        <v>3.28</v>
      </c>
      <c r="L32" s="12">
        <v>4.5</v>
      </c>
      <c r="M32" s="12">
        <v>5.05</v>
      </c>
    </row>
    <row r="33" spans="1:38" ht="19" x14ac:dyDescent="0.25">
      <c r="A33" s="5" t="s">
        <v>26</v>
      </c>
      <c r="B33" s="1" t="s">
        <v>91</v>
      </c>
      <c r="C33" s="1">
        <v>188921600</v>
      </c>
      <c r="D33" s="1">
        <v>188923000</v>
      </c>
      <c r="E33" s="1">
        <v>188921600</v>
      </c>
      <c r="F33" s="1">
        <v>188922000</v>
      </c>
      <c r="G33" s="1">
        <v>188923000</v>
      </c>
      <c r="H33" s="1">
        <v>188951000</v>
      </c>
      <c r="I33" s="1">
        <v>188606000</v>
      </c>
      <c r="J33" s="1">
        <v>186767000</v>
      </c>
      <c r="K33" s="1">
        <v>184806000</v>
      </c>
      <c r="L33" s="1">
        <v>184806000</v>
      </c>
      <c r="M33" s="1">
        <v>184806000</v>
      </c>
    </row>
    <row r="34" spans="1:38" ht="19" x14ac:dyDescent="0.25">
      <c r="A34" s="5" t="s">
        <v>27</v>
      </c>
      <c r="B34" s="1" t="s">
        <v>91</v>
      </c>
      <c r="C34" s="1">
        <v>188921600</v>
      </c>
      <c r="D34" s="1">
        <v>188923000</v>
      </c>
      <c r="E34" s="1">
        <v>188921600</v>
      </c>
      <c r="F34" s="1">
        <v>188922000</v>
      </c>
      <c r="G34" s="1">
        <v>188946000</v>
      </c>
      <c r="H34" s="1">
        <v>189759000</v>
      </c>
      <c r="I34" s="1">
        <v>189394000</v>
      </c>
      <c r="J34" s="1">
        <v>187535000</v>
      </c>
      <c r="K34" s="1">
        <v>185379000</v>
      </c>
      <c r="L34" s="1">
        <v>184806000</v>
      </c>
      <c r="M34" s="1">
        <v>184806000</v>
      </c>
    </row>
    <row r="35" spans="1:38" ht="20" customHeight="1" x14ac:dyDescent="0.25">
      <c r="A35" s="14" t="s">
        <v>102</v>
      </c>
      <c r="B35" s="1"/>
      <c r="C35" s="22" t="e">
        <f>(C34-B34)/B34</f>
        <v>#VALUE!</v>
      </c>
      <c r="D35" s="22">
        <f t="shared" ref="D35:K35" si="21">(D34-C34)/C34</f>
        <v>7.4104813848707616E-6</v>
      </c>
      <c r="E35" s="22">
        <f t="shared" si="21"/>
        <v>-7.4104264700433511E-6</v>
      </c>
      <c r="F35" s="22">
        <f t="shared" si="21"/>
        <v>2.1172803956773601E-6</v>
      </c>
      <c r="G35" s="22">
        <f t="shared" si="21"/>
        <v>1.2703655476863467E-4</v>
      </c>
      <c r="H35" s="22">
        <f t="shared" si="21"/>
        <v>4.302816677780953E-3</v>
      </c>
      <c r="I35" s="22">
        <f t="shared" si="21"/>
        <v>-1.9234924298715738E-3</v>
      </c>
      <c r="J35" s="22">
        <f t="shared" si="21"/>
        <v>-9.8155168590346054E-3</v>
      </c>
      <c r="K35" s="22">
        <f t="shared" si="21"/>
        <v>-1.1496520649478764E-2</v>
      </c>
      <c r="L35" s="22">
        <f t="shared" ref="L35" si="22">(L34-K34)/K34</f>
        <v>-3.0909649960351496E-3</v>
      </c>
      <c r="M35" s="22">
        <f t="shared" ref="M35" si="23">(M34-L34)/L34</f>
        <v>0</v>
      </c>
      <c r="N35" s="22"/>
      <c r="O35" s="22"/>
      <c r="P35" s="22"/>
      <c r="Q35" s="22"/>
      <c r="R35" s="22"/>
      <c r="S35" s="22"/>
      <c r="T35" s="22"/>
      <c r="U35" s="22"/>
      <c r="V35" s="22"/>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t="s">
        <v>91</v>
      </c>
      <c r="D38" s="1">
        <v>113786000</v>
      </c>
      <c r="E38" s="1">
        <v>134278000</v>
      </c>
      <c r="F38" s="1">
        <v>182753000</v>
      </c>
      <c r="G38" s="1">
        <v>457784000</v>
      </c>
      <c r="H38" s="1">
        <v>647706000</v>
      </c>
      <c r="I38" s="1">
        <v>793664000</v>
      </c>
      <c r="J38" s="1">
        <v>897946000</v>
      </c>
      <c r="K38" s="1">
        <v>1362406000</v>
      </c>
      <c r="L38" s="1">
        <v>1344146000</v>
      </c>
      <c r="M38" s="1">
        <v>1388901000</v>
      </c>
    </row>
    <row r="39" spans="1:38" ht="19" x14ac:dyDescent="0.25">
      <c r="A39" s="5" t="s">
        <v>31</v>
      </c>
      <c r="B39" s="1" t="s">
        <v>91</v>
      </c>
      <c r="C39" s="1" t="s">
        <v>91</v>
      </c>
      <c r="D39" s="1" t="s">
        <v>91</v>
      </c>
      <c r="E39" s="1" t="s">
        <v>91</v>
      </c>
      <c r="F39" s="1">
        <v>8626000</v>
      </c>
      <c r="G39" s="1">
        <v>5888000</v>
      </c>
      <c r="H39" s="1">
        <v>3997000</v>
      </c>
      <c r="I39" s="1">
        <v>3386000</v>
      </c>
      <c r="J39" s="1">
        <v>1986000</v>
      </c>
      <c r="K39" s="1">
        <v>1448000</v>
      </c>
      <c r="L39" s="1">
        <v>1935000</v>
      </c>
      <c r="M39" s="1">
        <v>7068000</v>
      </c>
    </row>
    <row r="40" spans="1:38" ht="19" x14ac:dyDescent="0.25">
      <c r="A40" s="5" t="s">
        <v>32</v>
      </c>
      <c r="B40" s="1" t="s">
        <v>91</v>
      </c>
      <c r="C40" s="1" t="s">
        <v>91</v>
      </c>
      <c r="D40" s="1">
        <v>113786000</v>
      </c>
      <c r="E40" s="1">
        <v>134278000</v>
      </c>
      <c r="F40" s="1">
        <v>191379000</v>
      </c>
      <c r="G40" s="1">
        <v>463672000</v>
      </c>
      <c r="H40" s="1">
        <v>651703000</v>
      </c>
      <c r="I40" s="1">
        <v>797050000</v>
      </c>
      <c r="J40" s="1">
        <v>899932000</v>
      </c>
      <c r="K40" s="1">
        <v>1363854000</v>
      </c>
      <c r="L40" s="1">
        <v>1346081000</v>
      </c>
      <c r="M40" s="1">
        <v>1395969000</v>
      </c>
    </row>
    <row r="41" spans="1:38" ht="19" x14ac:dyDescent="0.25">
      <c r="A41" s="5" t="s">
        <v>33</v>
      </c>
      <c r="B41" s="1" t="s">
        <v>91</v>
      </c>
      <c r="C41" s="1" t="s">
        <v>91</v>
      </c>
      <c r="D41" s="1">
        <v>1099771000</v>
      </c>
      <c r="E41" s="1">
        <v>1448070000</v>
      </c>
      <c r="F41" s="1">
        <v>1372988000</v>
      </c>
      <c r="G41" s="1">
        <v>1056852000</v>
      </c>
      <c r="H41" s="1">
        <v>994929000</v>
      </c>
      <c r="I41" s="1">
        <v>1245860000</v>
      </c>
      <c r="J41" s="1">
        <v>1267684000</v>
      </c>
      <c r="K41" s="1">
        <v>1167925000</v>
      </c>
      <c r="L41" s="1">
        <v>1404552000</v>
      </c>
      <c r="M41" s="1">
        <v>1728323000</v>
      </c>
    </row>
    <row r="42" spans="1:38" ht="19" x14ac:dyDescent="0.25">
      <c r="A42" s="5" t="s">
        <v>34</v>
      </c>
      <c r="B42" s="1" t="s">
        <v>91</v>
      </c>
      <c r="C42" s="1" t="s">
        <v>91</v>
      </c>
      <c r="D42" s="1">
        <v>237496000</v>
      </c>
      <c r="E42" s="1">
        <v>296005000</v>
      </c>
      <c r="F42" s="1">
        <v>295436000</v>
      </c>
      <c r="G42" s="1">
        <v>323998000</v>
      </c>
      <c r="H42" s="1">
        <v>393765000</v>
      </c>
      <c r="I42" s="1">
        <v>391064000</v>
      </c>
      <c r="J42" s="1">
        <v>420051000</v>
      </c>
      <c r="K42" s="1">
        <v>460617000</v>
      </c>
      <c r="L42" s="1">
        <v>540575000</v>
      </c>
      <c r="M42" s="1">
        <v>674662000</v>
      </c>
    </row>
    <row r="43" spans="1:38" ht="19" x14ac:dyDescent="0.25">
      <c r="A43" s="5" t="s">
        <v>35</v>
      </c>
      <c r="B43" s="1" t="s">
        <v>91</v>
      </c>
      <c r="C43" s="1" t="s">
        <v>91</v>
      </c>
      <c r="D43" s="1">
        <v>767809000</v>
      </c>
      <c r="E43" s="1">
        <v>966302000</v>
      </c>
      <c r="F43" s="1">
        <v>160020000</v>
      </c>
      <c r="G43" s="1">
        <v>42931000</v>
      </c>
      <c r="H43" s="1">
        <v>40680000</v>
      </c>
      <c r="I43" s="1">
        <v>43352000</v>
      </c>
      <c r="J43" s="1">
        <v>53534000</v>
      </c>
      <c r="K43" s="1">
        <v>83487000</v>
      </c>
      <c r="L43" s="1">
        <v>72511000</v>
      </c>
      <c r="M43" s="1">
        <v>153558000</v>
      </c>
    </row>
    <row r="44" spans="1:38" ht="19" x14ac:dyDescent="0.25">
      <c r="A44" s="6" t="s">
        <v>36</v>
      </c>
      <c r="B44" s="10" t="s">
        <v>91</v>
      </c>
      <c r="C44" s="10" t="s">
        <v>91</v>
      </c>
      <c r="D44" s="10">
        <v>2218862000</v>
      </c>
      <c r="E44" s="10">
        <v>2844655000</v>
      </c>
      <c r="F44" s="10">
        <v>2019823000</v>
      </c>
      <c r="G44" s="10">
        <v>1887453000</v>
      </c>
      <c r="H44" s="10">
        <v>2081077000</v>
      </c>
      <c r="I44" s="10">
        <v>2477326000</v>
      </c>
      <c r="J44" s="10">
        <v>2641201000</v>
      </c>
      <c r="K44" s="10">
        <v>3075883000</v>
      </c>
      <c r="L44" s="10">
        <v>3363719000</v>
      </c>
      <c r="M44" s="10">
        <v>3952512000</v>
      </c>
    </row>
    <row r="45" spans="1:38" ht="19" x14ac:dyDescent="0.25">
      <c r="A45" s="5" t="s">
        <v>37</v>
      </c>
      <c r="B45" s="1" t="s">
        <v>91</v>
      </c>
      <c r="C45" s="1" t="s">
        <v>91</v>
      </c>
      <c r="D45" s="1">
        <v>567814000</v>
      </c>
      <c r="E45" s="1">
        <v>585185000</v>
      </c>
      <c r="F45" s="1">
        <v>626130000</v>
      </c>
      <c r="G45" s="1">
        <v>669283000</v>
      </c>
      <c r="H45" s="1">
        <v>710260000</v>
      </c>
      <c r="I45" s="1">
        <v>850550000</v>
      </c>
      <c r="J45" s="1">
        <v>1069652000</v>
      </c>
      <c r="K45" s="1">
        <v>1226630000</v>
      </c>
      <c r="L45" s="1">
        <v>1353165000</v>
      </c>
      <c r="M45" s="1">
        <v>1457825000</v>
      </c>
    </row>
    <row r="46" spans="1:38" ht="19" x14ac:dyDescent="0.25">
      <c r="A46" s="5" t="s">
        <v>38</v>
      </c>
      <c r="B46" s="1" t="s">
        <v>91</v>
      </c>
      <c r="C46" s="1" t="s">
        <v>91</v>
      </c>
      <c r="D46" s="1">
        <v>787178000</v>
      </c>
      <c r="E46" s="1">
        <v>787178000</v>
      </c>
      <c r="F46" s="1">
        <v>787178000</v>
      </c>
      <c r="G46" s="1">
        <v>785182000</v>
      </c>
      <c r="H46" s="1">
        <v>785182000</v>
      </c>
      <c r="I46" s="1">
        <v>785182000</v>
      </c>
      <c r="J46" s="1">
        <v>785182000</v>
      </c>
      <c r="K46" s="1">
        <v>785182000</v>
      </c>
      <c r="L46" s="1">
        <v>785182000</v>
      </c>
      <c r="M46" s="1">
        <v>785182000</v>
      </c>
    </row>
    <row r="47" spans="1:38" ht="19" x14ac:dyDescent="0.25">
      <c r="A47" s="5" t="s">
        <v>39</v>
      </c>
      <c r="B47" s="1" t="s">
        <v>91</v>
      </c>
      <c r="C47" s="1" t="s">
        <v>91</v>
      </c>
      <c r="D47" s="1">
        <v>242167000</v>
      </c>
      <c r="E47" s="1">
        <v>265262000</v>
      </c>
      <c r="F47" s="1">
        <v>307810000</v>
      </c>
      <c r="G47" s="1">
        <v>354394000</v>
      </c>
      <c r="H47" s="1">
        <v>440456000</v>
      </c>
      <c r="I47" s="1">
        <v>645797000</v>
      </c>
      <c r="J47" s="1">
        <v>837938000</v>
      </c>
      <c r="K47" s="1">
        <v>979290000</v>
      </c>
      <c r="L47" s="1">
        <v>1138173000</v>
      </c>
      <c r="M47" s="1">
        <v>1307388000</v>
      </c>
    </row>
    <row r="48" spans="1:38" ht="19" x14ac:dyDescent="0.25">
      <c r="A48" s="5" t="s">
        <v>40</v>
      </c>
      <c r="B48" s="1" t="s">
        <v>91</v>
      </c>
      <c r="C48" s="1" t="s">
        <v>91</v>
      </c>
      <c r="D48" s="1">
        <v>1029345000</v>
      </c>
      <c r="E48" s="1">
        <v>1052440000</v>
      </c>
      <c r="F48" s="1">
        <v>1094988000</v>
      </c>
      <c r="G48" s="1">
        <v>1139576000</v>
      </c>
      <c r="H48" s="1">
        <v>1225638000</v>
      </c>
      <c r="I48" s="1">
        <v>1430979000</v>
      </c>
      <c r="J48" s="1">
        <v>1623120000</v>
      </c>
      <c r="K48" s="1">
        <v>1764472000</v>
      </c>
      <c r="L48" s="1">
        <v>1923355000</v>
      </c>
      <c r="M48" s="1">
        <v>2092570000</v>
      </c>
    </row>
    <row r="49" spans="1:13" ht="19" x14ac:dyDescent="0.25">
      <c r="A49" s="5" t="s">
        <v>41</v>
      </c>
      <c r="B49" s="1" t="s">
        <v>91</v>
      </c>
      <c r="C49" s="1" t="s">
        <v>91</v>
      </c>
      <c r="D49" s="1">
        <v>1271000</v>
      </c>
      <c r="E49" s="1">
        <v>1320000</v>
      </c>
      <c r="F49" s="1">
        <v>978000</v>
      </c>
      <c r="G49" s="1">
        <v>21968000</v>
      </c>
      <c r="H49" s="1">
        <v>30038000</v>
      </c>
      <c r="I49" s="1">
        <v>32134000</v>
      </c>
      <c r="J49" s="1">
        <v>38716000</v>
      </c>
      <c r="K49" s="1">
        <v>42841000</v>
      </c>
      <c r="L49" s="1">
        <v>54509000</v>
      </c>
      <c r="M49" s="1">
        <v>59534000</v>
      </c>
    </row>
    <row r="50" spans="1:13" ht="19" x14ac:dyDescent="0.25">
      <c r="A50" s="5" t="s">
        <v>42</v>
      </c>
      <c r="B50" s="1" t="s">
        <v>91</v>
      </c>
      <c r="C50" s="1" t="s">
        <v>91</v>
      </c>
      <c r="D50" s="1">
        <v>41543000</v>
      </c>
      <c r="E50" s="1">
        <v>111716000</v>
      </c>
      <c r="F50" s="1">
        <v>122622000</v>
      </c>
      <c r="G50" s="1">
        <v>119357000</v>
      </c>
      <c r="H50" s="1">
        <v>94091000</v>
      </c>
      <c r="I50" s="1">
        <v>60744000</v>
      </c>
      <c r="J50" s="1">
        <v>73683000</v>
      </c>
      <c r="K50" s="1">
        <v>152221000</v>
      </c>
      <c r="L50" s="1">
        <v>168757000</v>
      </c>
      <c r="M50" s="1">
        <v>203382000</v>
      </c>
    </row>
    <row r="51" spans="1:13" ht="19" x14ac:dyDescent="0.25">
      <c r="A51" s="5" t="s">
        <v>43</v>
      </c>
      <c r="B51" s="1" t="s">
        <v>91</v>
      </c>
      <c r="C51" s="1" t="s">
        <v>91</v>
      </c>
      <c r="D51" s="1">
        <v>36640000</v>
      </c>
      <c r="E51" s="1">
        <v>46111000</v>
      </c>
      <c r="F51" s="1">
        <v>10858000</v>
      </c>
      <c r="G51" s="1">
        <v>11967000</v>
      </c>
      <c r="H51" s="1" t="s">
        <v>91</v>
      </c>
      <c r="I51" s="1" t="s">
        <v>91</v>
      </c>
      <c r="J51" s="1" t="s">
        <v>91</v>
      </c>
      <c r="K51" s="1" t="s">
        <v>91</v>
      </c>
      <c r="L51" s="1" t="s">
        <v>91</v>
      </c>
      <c r="M51" s="1" t="s">
        <v>91</v>
      </c>
    </row>
    <row r="52" spans="1:13" ht="19" x14ac:dyDescent="0.25">
      <c r="A52" s="5" t="s">
        <v>44</v>
      </c>
      <c r="B52" s="1" t="s">
        <v>91</v>
      </c>
      <c r="C52" s="1" t="s">
        <v>91</v>
      </c>
      <c r="D52" s="1">
        <v>1676613000</v>
      </c>
      <c r="E52" s="1">
        <v>1796772000</v>
      </c>
      <c r="F52" s="1">
        <v>1855576000</v>
      </c>
      <c r="G52" s="1">
        <v>1962151000</v>
      </c>
      <c r="H52" s="1">
        <v>2060027000</v>
      </c>
      <c r="I52" s="1">
        <v>2374407000</v>
      </c>
      <c r="J52" s="1">
        <v>2805171000</v>
      </c>
      <c r="K52" s="1">
        <v>3186164000</v>
      </c>
      <c r="L52" s="1">
        <v>3499786000</v>
      </c>
      <c r="M52" s="1">
        <v>3813311000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t="s">
        <v>91</v>
      </c>
      <c r="D54" s="11">
        <v>3895475000</v>
      </c>
      <c r="E54" s="11">
        <v>4641427000</v>
      </c>
      <c r="F54" s="11">
        <v>3875399000</v>
      </c>
      <c r="G54" s="11">
        <v>3849604000</v>
      </c>
      <c r="H54" s="11">
        <v>4141104000</v>
      </c>
      <c r="I54" s="11">
        <v>4851733000</v>
      </c>
      <c r="J54" s="11">
        <v>5446372000</v>
      </c>
      <c r="K54" s="11">
        <v>6262047000</v>
      </c>
      <c r="L54" s="11">
        <v>6863505000</v>
      </c>
      <c r="M54" s="11">
        <v>7765823000</v>
      </c>
    </row>
    <row r="55" spans="1:13" ht="20" thickTop="1" x14ac:dyDescent="0.25">
      <c r="A55" s="5" t="s">
        <v>47</v>
      </c>
      <c r="B55" s="1" t="s">
        <v>91</v>
      </c>
      <c r="C55" s="1" t="s">
        <v>91</v>
      </c>
      <c r="D55" s="1">
        <v>485948000</v>
      </c>
      <c r="E55" s="1">
        <v>535707000</v>
      </c>
      <c r="F55" s="1">
        <v>507499000</v>
      </c>
      <c r="G55" s="1">
        <v>614888000</v>
      </c>
      <c r="H55" s="1">
        <v>607505000</v>
      </c>
      <c r="I55" s="1">
        <v>653751000</v>
      </c>
      <c r="J55" s="1">
        <v>711539000</v>
      </c>
      <c r="K55" s="1">
        <v>713807000</v>
      </c>
      <c r="L55" s="1">
        <v>797832000</v>
      </c>
      <c r="M55" s="1">
        <v>902968000</v>
      </c>
    </row>
    <row r="56" spans="1:13" ht="19" x14ac:dyDescent="0.25">
      <c r="A56" s="5" t="s">
        <v>48</v>
      </c>
      <c r="B56" s="1" t="s">
        <v>91</v>
      </c>
      <c r="C56" s="1" t="s">
        <v>91</v>
      </c>
      <c r="D56" s="1">
        <v>296785000</v>
      </c>
      <c r="E56" s="1">
        <v>491320000</v>
      </c>
      <c r="F56" s="1">
        <v>919409000</v>
      </c>
      <c r="G56" s="1" t="s">
        <v>91</v>
      </c>
      <c r="H56" s="1" t="s">
        <v>91</v>
      </c>
      <c r="I56" s="1" t="s">
        <v>91</v>
      </c>
      <c r="J56" s="1" t="s">
        <v>91</v>
      </c>
      <c r="K56" s="1" t="s">
        <v>91</v>
      </c>
      <c r="L56" s="1" t="s">
        <v>91</v>
      </c>
      <c r="M56" s="1">
        <v>0</v>
      </c>
    </row>
    <row r="57" spans="1:13" ht="19" x14ac:dyDescent="0.25">
      <c r="A57" s="5" t="s">
        <v>49</v>
      </c>
      <c r="B57" s="1" t="s">
        <v>91</v>
      </c>
      <c r="C57" s="1" t="s">
        <v>91</v>
      </c>
      <c r="D57" s="1">
        <v>103909000</v>
      </c>
      <c r="E57" s="1">
        <v>109516000</v>
      </c>
      <c r="F57" s="1">
        <v>125232000</v>
      </c>
      <c r="G57" s="1">
        <v>41595000</v>
      </c>
      <c r="H57" s="1">
        <v>29160000</v>
      </c>
      <c r="I57" s="1">
        <v>7635000</v>
      </c>
      <c r="J57" s="1">
        <v>7106000</v>
      </c>
      <c r="K57" s="1">
        <v>15895000</v>
      </c>
      <c r="L57" s="1">
        <v>112910000</v>
      </c>
      <c r="M57" s="1">
        <v>58563000</v>
      </c>
    </row>
    <row r="58" spans="1:1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row>
    <row r="59" spans="1:13" ht="19" x14ac:dyDescent="0.25">
      <c r="A59" s="5" t="s">
        <v>51</v>
      </c>
      <c r="B59" s="1" t="s">
        <v>91</v>
      </c>
      <c r="C59" s="1" t="s">
        <v>91</v>
      </c>
      <c r="D59" s="1">
        <v>31028000</v>
      </c>
      <c r="E59" s="1">
        <v>85624000</v>
      </c>
      <c r="F59" s="1">
        <v>76514000</v>
      </c>
      <c r="G59" s="1">
        <v>61403000</v>
      </c>
      <c r="H59" s="1">
        <v>77024000</v>
      </c>
      <c r="I59" s="1">
        <v>81408000</v>
      </c>
      <c r="J59" s="1">
        <v>85965000</v>
      </c>
      <c r="K59" s="1">
        <v>60788000</v>
      </c>
      <c r="L59" s="1">
        <v>80787000</v>
      </c>
      <c r="M59" s="1">
        <v>98535000</v>
      </c>
    </row>
    <row r="60" spans="1:13" ht="19" x14ac:dyDescent="0.25">
      <c r="A60" s="6" t="s">
        <v>52</v>
      </c>
      <c r="B60" s="10" t="s">
        <v>91</v>
      </c>
      <c r="C60" s="10" t="s">
        <v>91</v>
      </c>
      <c r="D60" s="10">
        <v>917670000</v>
      </c>
      <c r="E60" s="10">
        <v>1222167000</v>
      </c>
      <c r="F60" s="10">
        <v>1628654000</v>
      </c>
      <c r="G60" s="10">
        <v>717886000</v>
      </c>
      <c r="H60" s="10">
        <v>713689000</v>
      </c>
      <c r="I60" s="10">
        <v>742794000</v>
      </c>
      <c r="J60" s="10">
        <v>804610000</v>
      </c>
      <c r="K60" s="10">
        <v>790490000</v>
      </c>
      <c r="L60" s="10">
        <v>991529000</v>
      </c>
      <c r="M60" s="10">
        <v>1060066000</v>
      </c>
    </row>
    <row r="61" spans="1:13" ht="19" x14ac:dyDescent="0.25">
      <c r="A61" s="5" t="s">
        <v>53</v>
      </c>
      <c r="B61" s="1" t="s">
        <v>91</v>
      </c>
      <c r="C61" s="1" t="s">
        <v>91</v>
      </c>
      <c r="D61" s="1">
        <v>20519000</v>
      </c>
      <c r="E61" s="1">
        <v>18900000</v>
      </c>
      <c r="F61" s="1">
        <v>1340981000</v>
      </c>
      <c r="G61" s="1">
        <v>1848041000</v>
      </c>
      <c r="H61" s="1">
        <v>1806181000</v>
      </c>
      <c r="I61" s="1">
        <v>1927167000</v>
      </c>
      <c r="J61" s="1">
        <v>2089737000</v>
      </c>
      <c r="K61" s="1">
        <v>2724745000</v>
      </c>
      <c r="L61" s="1">
        <v>2630011000</v>
      </c>
      <c r="M61" s="1">
        <v>2811779000</v>
      </c>
    </row>
    <row r="62" spans="1:13" ht="19" x14ac:dyDescent="0.25">
      <c r="A62" s="5" t="s">
        <v>50</v>
      </c>
      <c r="B62" s="1" t="s">
        <v>91</v>
      </c>
      <c r="C62" s="1" t="s">
        <v>91</v>
      </c>
      <c r="D62" s="1">
        <v>194321000</v>
      </c>
      <c r="E62" s="1">
        <v>234536000</v>
      </c>
      <c r="F62" s="1">
        <v>268452000</v>
      </c>
      <c r="G62" s="1">
        <v>273069000</v>
      </c>
      <c r="H62" s="1">
        <v>274186000</v>
      </c>
      <c r="I62" s="1">
        <v>271817000</v>
      </c>
      <c r="J62" s="1">
        <v>275439000</v>
      </c>
      <c r="K62" s="1">
        <v>270826000</v>
      </c>
      <c r="L62" s="1">
        <v>256206000</v>
      </c>
      <c r="M62" s="1">
        <v>270353000</v>
      </c>
    </row>
    <row r="63" spans="1:13" ht="19" x14ac:dyDescent="0.25">
      <c r="A63" s="5" t="s">
        <v>54</v>
      </c>
      <c r="B63" s="1" t="s">
        <v>91</v>
      </c>
      <c r="C63" s="1" t="s">
        <v>91</v>
      </c>
      <c r="D63" s="1">
        <v>27958000</v>
      </c>
      <c r="E63" s="1">
        <v>21612000</v>
      </c>
      <c r="F63" s="1">
        <v>23345000</v>
      </c>
      <c r="G63" s="1">
        <v>13111000</v>
      </c>
      <c r="H63" s="1">
        <v>10977000</v>
      </c>
      <c r="I63" s="1">
        <v>39142000</v>
      </c>
      <c r="J63" s="1">
        <v>82208000</v>
      </c>
      <c r="K63" s="1">
        <v>113474000</v>
      </c>
      <c r="L63" s="1">
        <v>95973000</v>
      </c>
      <c r="M63" s="1">
        <v>126507000</v>
      </c>
    </row>
    <row r="64" spans="1:13" ht="19" x14ac:dyDescent="0.25">
      <c r="A64" s="5" t="s">
        <v>55</v>
      </c>
      <c r="B64" s="1" t="s">
        <v>91</v>
      </c>
      <c r="C64" s="1" t="s">
        <v>91</v>
      </c>
      <c r="D64" s="1">
        <v>418725000</v>
      </c>
      <c r="E64" s="1">
        <v>665899000</v>
      </c>
      <c r="F64" s="1">
        <v>633370000</v>
      </c>
      <c r="G64" s="1">
        <v>667692000</v>
      </c>
      <c r="H64" s="1">
        <v>552135000</v>
      </c>
      <c r="I64" s="1">
        <v>516974000</v>
      </c>
      <c r="J64" s="1">
        <v>707090000</v>
      </c>
      <c r="K64" s="1">
        <v>573308000</v>
      </c>
      <c r="L64" s="1">
        <v>678370000</v>
      </c>
      <c r="M64" s="1">
        <v>894631000</v>
      </c>
    </row>
    <row r="65" spans="1:38" ht="19" x14ac:dyDescent="0.25">
      <c r="A65" s="5" t="s">
        <v>56</v>
      </c>
      <c r="B65" s="1" t="s">
        <v>91</v>
      </c>
      <c r="C65" s="1" t="s">
        <v>91</v>
      </c>
      <c r="D65" s="1">
        <v>661523000</v>
      </c>
      <c r="E65" s="1">
        <v>940947000</v>
      </c>
      <c r="F65" s="1">
        <v>2266148000</v>
      </c>
      <c r="G65" s="1">
        <v>2801913000</v>
      </c>
      <c r="H65" s="1">
        <v>2643479000</v>
      </c>
      <c r="I65" s="1">
        <v>2755100000</v>
      </c>
      <c r="J65" s="1">
        <v>3154474000</v>
      </c>
      <c r="K65" s="1">
        <v>3682353000</v>
      </c>
      <c r="L65" s="1">
        <v>3660560000</v>
      </c>
      <c r="M65" s="1">
        <v>4103270000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t="s">
        <v>91</v>
      </c>
      <c r="D67" s="10">
        <v>1579193000</v>
      </c>
      <c r="E67" s="10">
        <v>2163114000</v>
      </c>
      <c r="F67" s="10">
        <v>3894802000</v>
      </c>
      <c r="G67" s="10">
        <v>3519799000</v>
      </c>
      <c r="H67" s="10">
        <v>3357168000</v>
      </c>
      <c r="I67" s="10">
        <v>3497894000</v>
      </c>
      <c r="J67" s="10">
        <v>3959084000</v>
      </c>
      <c r="K67" s="10">
        <v>4472843000</v>
      </c>
      <c r="L67" s="10">
        <v>4652089000</v>
      </c>
      <c r="M67" s="10">
        <v>5163336000</v>
      </c>
    </row>
    <row r="68" spans="1:38" ht="19" x14ac:dyDescent="0.25">
      <c r="A68" s="5" t="s">
        <v>59</v>
      </c>
      <c r="B68" s="1" t="s">
        <v>91</v>
      </c>
      <c r="C68" s="1" t="s">
        <v>91</v>
      </c>
      <c r="D68" s="1">
        <v>3778000</v>
      </c>
      <c r="E68" s="1">
        <v>3778000</v>
      </c>
      <c r="F68" s="1">
        <v>3778000</v>
      </c>
      <c r="G68" s="1">
        <v>2504000</v>
      </c>
      <c r="H68" s="1">
        <v>2504000</v>
      </c>
      <c r="I68" s="1">
        <v>2504000</v>
      </c>
      <c r="J68" s="1">
        <v>2573000</v>
      </c>
      <c r="K68" s="1">
        <v>2573000</v>
      </c>
      <c r="L68" s="1">
        <v>2573000</v>
      </c>
      <c r="M68" s="1">
        <v>2573000</v>
      </c>
    </row>
    <row r="69" spans="1:38" ht="19" x14ac:dyDescent="0.25">
      <c r="A69" s="5" t="s">
        <v>60</v>
      </c>
      <c r="B69" s="1" t="s">
        <v>91</v>
      </c>
      <c r="C69" s="1" t="s">
        <v>91</v>
      </c>
      <c r="D69" s="1">
        <v>2242315000</v>
      </c>
      <c r="E69" s="1">
        <v>2503614000</v>
      </c>
      <c r="F69" s="1">
        <v>-12127000</v>
      </c>
      <c r="G69" s="1">
        <v>302336000</v>
      </c>
      <c r="H69" s="1">
        <v>746341000</v>
      </c>
      <c r="I69" s="1">
        <v>1319478000</v>
      </c>
      <c r="J69" s="1">
        <v>1452720000</v>
      </c>
      <c r="K69" s="1">
        <v>1739380000</v>
      </c>
      <c r="L69" s="1">
        <v>2192453000</v>
      </c>
      <c r="M69" s="1">
        <v>2499771000</v>
      </c>
    </row>
    <row r="70" spans="1:38" ht="19" x14ac:dyDescent="0.25">
      <c r="A70" s="5" t="s">
        <v>61</v>
      </c>
      <c r="B70" s="1" t="s">
        <v>91</v>
      </c>
      <c r="C70" s="1" t="s">
        <v>91</v>
      </c>
      <c r="D70" s="1">
        <v>43413000</v>
      </c>
      <c r="E70" s="1">
        <v>-37774000</v>
      </c>
      <c r="F70" s="1">
        <v>-16774000</v>
      </c>
      <c r="G70" s="1">
        <v>20155000</v>
      </c>
      <c r="H70" s="1">
        <v>29833000</v>
      </c>
      <c r="I70" s="1">
        <v>26740000</v>
      </c>
      <c r="J70" s="1">
        <v>25997000</v>
      </c>
      <c r="K70" s="1">
        <v>43233000</v>
      </c>
      <c r="L70" s="1">
        <v>10872000</v>
      </c>
      <c r="M70" s="1">
        <v>90513000</v>
      </c>
    </row>
    <row r="71" spans="1:38"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row>
    <row r="72" spans="1:38" ht="19" x14ac:dyDescent="0.25">
      <c r="A72" s="6" t="s">
        <v>63</v>
      </c>
      <c r="B72" s="10" t="s">
        <v>91</v>
      </c>
      <c r="C72" s="10" t="s">
        <v>91</v>
      </c>
      <c r="D72" s="10">
        <v>2289506000</v>
      </c>
      <c r="E72" s="10">
        <v>2469618000</v>
      </c>
      <c r="F72" s="10">
        <v>-25123000</v>
      </c>
      <c r="G72" s="10">
        <v>324995000</v>
      </c>
      <c r="H72" s="10">
        <v>778678000</v>
      </c>
      <c r="I72" s="10">
        <v>1348722000</v>
      </c>
      <c r="J72" s="10">
        <v>1481290000</v>
      </c>
      <c r="K72" s="10">
        <v>1785186000</v>
      </c>
      <c r="L72" s="10">
        <v>2205898000</v>
      </c>
      <c r="M72" s="10">
        <v>2592857000</v>
      </c>
    </row>
    <row r="73" spans="1:38" ht="20" thickBot="1" x14ac:dyDescent="0.3">
      <c r="A73" s="7" t="s">
        <v>64</v>
      </c>
      <c r="B73" s="11" t="s">
        <v>91</v>
      </c>
      <c r="C73" s="11" t="s">
        <v>91</v>
      </c>
      <c r="D73" s="11">
        <v>3868699000</v>
      </c>
      <c r="E73" s="11">
        <v>4632732000</v>
      </c>
      <c r="F73" s="11">
        <v>3869679000</v>
      </c>
      <c r="G73" s="11">
        <v>3844794000</v>
      </c>
      <c r="H73" s="11">
        <v>4135846000</v>
      </c>
      <c r="I73" s="11">
        <v>4846616000</v>
      </c>
      <c r="J73" s="11">
        <v>5440374000</v>
      </c>
      <c r="K73" s="11">
        <v>6258029000</v>
      </c>
      <c r="L73" s="11">
        <v>6857987000</v>
      </c>
      <c r="M73" s="11">
        <v>7756193000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t="s">
        <v>91</v>
      </c>
      <c r="C76" s="1">
        <v>225403000</v>
      </c>
      <c r="D76" s="1">
        <v>240774000</v>
      </c>
      <c r="E76" s="1">
        <v>261371000</v>
      </c>
      <c r="F76" s="1">
        <v>287816000</v>
      </c>
      <c r="G76" s="1">
        <v>398762000</v>
      </c>
      <c r="H76" s="1">
        <v>535393000</v>
      </c>
      <c r="I76" s="1">
        <v>784678000</v>
      </c>
      <c r="J76" s="1">
        <v>695818000</v>
      </c>
      <c r="K76" s="1">
        <v>607817000</v>
      </c>
      <c r="L76" s="1">
        <v>830767000</v>
      </c>
      <c r="M76" s="1">
        <v>1177766000</v>
      </c>
    </row>
    <row r="77" spans="1:38" ht="19" x14ac:dyDescent="0.25">
      <c r="A77" s="5" t="s">
        <v>13</v>
      </c>
      <c r="B77" s="1" t="s">
        <v>91</v>
      </c>
      <c r="C77" s="1">
        <v>237540000</v>
      </c>
      <c r="D77" s="1">
        <v>270250000</v>
      </c>
      <c r="E77" s="1">
        <v>288982000</v>
      </c>
      <c r="F77" s="1">
        <v>274757000</v>
      </c>
      <c r="G77" s="1">
        <v>247717000</v>
      </c>
      <c r="H77" s="1">
        <v>260606000</v>
      </c>
      <c r="I77" s="1">
        <v>288748000</v>
      </c>
      <c r="J77" s="1">
        <v>351946000</v>
      </c>
      <c r="K77" s="1">
        <v>426637000</v>
      </c>
      <c r="L77" s="1">
        <v>455989000</v>
      </c>
      <c r="M77" s="1">
        <v>546225000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row>
    <row r="79" spans="1:38" ht="19" x14ac:dyDescent="0.25">
      <c r="A79" s="5" t="s">
        <v>68</v>
      </c>
      <c r="B79" s="1">
        <v>0</v>
      </c>
      <c r="C79" s="1">
        <v>0</v>
      </c>
      <c r="D79" s="1">
        <v>0</v>
      </c>
      <c r="E79" s="1">
        <v>0</v>
      </c>
      <c r="F79" s="1">
        <v>0</v>
      </c>
      <c r="G79" s="1">
        <v>0</v>
      </c>
      <c r="H79" s="1">
        <v>0</v>
      </c>
      <c r="I79" s="1">
        <v>0</v>
      </c>
      <c r="J79" s="1">
        <v>0</v>
      </c>
      <c r="K79" s="1">
        <v>0</v>
      </c>
      <c r="L79" s="1">
        <v>0</v>
      </c>
      <c r="M79" s="1">
        <v>0</v>
      </c>
    </row>
    <row r="80" spans="1:38" ht="19" x14ac:dyDescent="0.25">
      <c r="A80" s="14" t="s">
        <v>103</v>
      </c>
      <c r="B80" s="15" t="e">
        <f t="shared" ref="B80:M80" si="24">B79/B3</f>
        <v>#VALUE!</v>
      </c>
      <c r="C80" s="15">
        <f t="shared" si="24"/>
        <v>0</v>
      </c>
      <c r="D80" s="15">
        <f t="shared" si="24"/>
        <v>0</v>
      </c>
      <c r="E80" s="15">
        <f t="shared" si="24"/>
        <v>0</v>
      </c>
      <c r="F80" s="15">
        <f t="shared" si="24"/>
        <v>0</v>
      </c>
      <c r="G80" s="15">
        <f t="shared" si="24"/>
        <v>0</v>
      </c>
      <c r="H80" s="15">
        <f t="shared" si="24"/>
        <v>0</v>
      </c>
      <c r="I80" s="15">
        <f t="shared" si="24"/>
        <v>0</v>
      </c>
      <c r="J80" s="15">
        <f t="shared" si="24"/>
        <v>0</v>
      </c>
      <c r="K80" s="15">
        <f t="shared" si="24"/>
        <v>0</v>
      </c>
      <c r="L80" s="15">
        <f t="shared" si="24"/>
        <v>0</v>
      </c>
      <c r="M80" s="15">
        <f t="shared" si="24"/>
        <v>0</v>
      </c>
      <c r="N80" s="15"/>
      <c r="O80" s="15"/>
      <c r="P80" s="15"/>
      <c r="Q80" s="15"/>
      <c r="R80" s="15"/>
      <c r="S80" s="15"/>
      <c r="T80" s="15"/>
      <c r="U80" s="15"/>
      <c r="V80" s="15"/>
      <c r="AH80" s="15"/>
      <c r="AI80" s="15"/>
      <c r="AJ80" s="15"/>
      <c r="AK80" s="15"/>
      <c r="AL80" s="15"/>
    </row>
    <row r="81" spans="1:46" ht="19" x14ac:dyDescent="0.25">
      <c r="A81" s="5" t="s">
        <v>69</v>
      </c>
      <c r="B81" s="1" t="s">
        <v>91</v>
      </c>
      <c r="C81" s="1">
        <v>-53070000</v>
      </c>
      <c r="D81" s="1">
        <v>-98506000</v>
      </c>
      <c r="E81" s="1">
        <v>-239108000</v>
      </c>
      <c r="F81" s="1">
        <v>63220000</v>
      </c>
      <c r="G81" s="1">
        <v>395846000</v>
      </c>
      <c r="H81" s="1">
        <v>-177821000</v>
      </c>
      <c r="I81" s="1">
        <v>-127797000</v>
      </c>
      <c r="J81" s="1">
        <v>59789000</v>
      </c>
      <c r="K81" s="1">
        <v>-221415000</v>
      </c>
      <c r="L81" s="1">
        <v>-159556000</v>
      </c>
      <c r="M81" s="1">
        <v>-146191000</v>
      </c>
    </row>
    <row r="82" spans="1:46" ht="19" x14ac:dyDescent="0.25">
      <c r="A82" s="5" t="s">
        <v>70</v>
      </c>
      <c r="B82" s="1" t="s">
        <v>91</v>
      </c>
      <c r="C82" s="1">
        <v>8857000</v>
      </c>
      <c r="D82" s="1">
        <v>-81386000</v>
      </c>
      <c r="E82" s="1">
        <v>824000</v>
      </c>
      <c r="F82" s="1">
        <v>15693000</v>
      </c>
      <c r="G82" s="1">
        <v>-88847000</v>
      </c>
      <c r="H82" s="1">
        <v>-1745000</v>
      </c>
      <c r="I82" s="1">
        <v>26890000</v>
      </c>
      <c r="J82" s="1">
        <v>-22377000</v>
      </c>
      <c r="K82" s="1">
        <v>44477000</v>
      </c>
      <c r="L82" s="1">
        <v>1771000</v>
      </c>
      <c r="M82" s="1">
        <v>-48400000</v>
      </c>
    </row>
    <row r="83" spans="1:46" ht="21" x14ac:dyDescent="0.25">
      <c r="A83" s="5" t="s">
        <v>34</v>
      </c>
      <c r="B83" s="1" t="s">
        <v>91</v>
      </c>
      <c r="C83" s="1">
        <v>-18940000</v>
      </c>
      <c r="D83" s="1">
        <v>-19549000</v>
      </c>
      <c r="E83" s="1">
        <v>-65548000</v>
      </c>
      <c r="F83" s="1">
        <v>-2885000</v>
      </c>
      <c r="G83" s="1">
        <v>-33187000</v>
      </c>
      <c r="H83" s="1">
        <v>-88483000</v>
      </c>
      <c r="I83" s="1">
        <v>-4638000</v>
      </c>
      <c r="J83" s="1">
        <v>-40627000</v>
      </c>
      <c r="K83" s="1">
        <v>-67797000</v>
      </c>
      <c r="L83" s="1">
        <v>-81309000</v>
      </c>
      <c r="M83" s="1">
        <v>-153890000</v>
      </c>
      <c r="T83" s="70" t="s">
        <v>125</v>
      </c>
      <c r="U83" s="71"/>
    </row>
    <row r="84" spans="1:46" ht="19" x14ac:dyDescent="0.25">
      <c r="A84" s="5" t="s">
        <v>47</v>
      </c>
      <c r="B84" s="1" t="s">
        <v>91</v>
      </c>
      <c r="C84" s="1">
        <v>24770000</v>
      </c>
      <c r="D84" s="1">
        <v>14260000</v>
      </c>
      <c r="E84" s="1">
        <v>12986000</v>
      </c>
      <c r="F84" s="1">
        <v>-45792000</v>
      </c>
      <c r="G84" s="1">
        <v>106163000</v>
      </c>
      <c r="H84" s="1">
        <v>29333000</v>
      </c>
      <c r="I84" s="1">
        <v>40317000</v>
      </c>
      <c r="J84" s="1">
        <v>53940000</v>
      </c>
      <c r="K84" s="1">
        <v>8594000</v>
      </c>
      <c r="L84" s="1">
        <v>72568000</v>
      </c>
      <c r="M84" s="1">
        <v>103981000</v>
      </c>
      <c r="T84" s="72" t="s">
        <v>126</v>
      </c>
      <c r="U84" s="72"/>
    </row>
    <row r="85" spans="1:46" ht="20" x14ac:dyDescent="0.25">
      <c r="A85" s="5" t="s">
        <v>71</v>
      </c>
      <c r="B85" s="1" t="s">
        <v>91</v>
      </c>
      <c r="C85" s="1">
        <v>80665000</v>
      </c>
      <c r="D85" s="1">
        <v>44700000</v>
      </c>
      <c r="E85" s="1">
        <v>14322000</v>
      </c>
      <c r="F85" s="1">
        <v>-24698000</v>
      </c>
      <c r="G85" s="1">
        <v>7149000</v>
      </c>
      <c r="H85" s="1">
        <v>-72803000</v>
      </c>
      <c r="I85" s="1">
        <v>-83013000</v>
      </c>
      <c r="J85" s="1">
        <v>145547000</v>
      </c>
      <c r="K85" s="1">
        <v>-137313000</v>
      </c>
      <c r="L85" s="1">
        <v>-29840000</v>
      </c>
      <c r="M85" s="1">
        <v>140008000</v>
      </c>
      <c r="T85" s="44" t="s">
        <v>127</v>
      </c>
      <c r="U85" s="45">
        <f>M17</f>
        <v>54196000</v>
      </c>
    </row>
    <row r="86" spans="1:46" ht="20" x14ac:dyDescent="0.25">
      <c r="A86" s="5" t="s">
        <v>72</v>
      </c>
      <c r="B86" s="1" t="s">
        <v>91</v>
      </c>
      <c r="C86" s="1">
        <v>52647000</v>
      </c>
      <c r="D86" s="1">
        <v>41496000</v>
      </c>
      <c r="E86" s="1">
        <v>114822000</v>
      </c>
      <c r="F86" s="1">
        <v>81475000</v>
      </c>
      <c r="G86" s="1">
        <v>-37026000</v>
      </c>
      <c r="H86" s="1">
        <v>44621000</v>
      </c>
      <c r="I86" s="1">
        <v>-11588000</v>
      </c>
      <c r="J86" s="1">
        <v>198540000</v>
      </c>
      <c r="K86" s="1">
        <v>25172000</v>
      </c>
      <c r="L86" s="1">
        <v>155526000</v>
      </c>
      <c r="M86" s="1">
        <v>-174460000</v>
      </c>
      <c r="T86" s="44" t="s">
        <v>128</v>
      </c>
      <c r="U86" s="45">
        <f>M56</f>
        <v>0</v>
      </c>
    </row>
    <row r="87" spans="1:46" ht="20" x14ac:dyDescent="0.25">
      <c r="A87" s="6" t="s">
        <v>73</v>
      </c>
      <c r="B87" s="10" t="s">
        <v>91</v>
      </c>
      <c r="C87" s="10">
        <v>462520000</v>
      </c>
      <c r="D87" s="10">
        <v>454014000</v>
      </c>
      <c r="E87" s="10">
        <v>426067000</v>
      </c>
      <c r="F87" s="10">
        <v>707268000</v>
      </c>
      <c r="G87" s="10">
        <v>1005299000</v>
      </c>
      <c r="H87" s="10">
        <v>662799000</v>
      </c>
      <c r="I87" s="10">
        <v>934041000</v>
      </c>
      <c r="J87" s="10">
        <v>1306093000</v>
      </c>
      <c r="K87" s="10">
        <v>838211000</v>
      </c>
      <c r="L87" s="10">
        <v>1282726000</v>
      </c>
      <c r="M87" s="10">
        <v>1403340000</v>
      </c>
      <c r="T87" s="44" t="s">
        <v>129</v>
      </c>
      <c r="U87" s="45">
        <f>M61</f>
        <v>2811779000</v>
      </c>
    </row>
    <row r="88" spans="1:46" ht="20" x14ac:dyDescent="0.25">
      <c r="A88" s="5" t="s">
        <v>74</v>
      </c>
      <c r="B88" s="1" t="s">
        <v>91</v>
      </c>
      <c r="C88" s="1">
        <v>-161380000</v>
      </c>
      <c r="D88" s="1">
        <v>-161653000</v>
      </c>
      <c r="E88" s="1">
        <v>-169363000</v>
      </c>
      <c r="F88" s="1">
        <v>-184910000</v>
      </c>
      <c r="G88" s="1">
        <v>-175647000</v>
      </c>
      <c r="H88" s="1">
        <v>-188904000</v>
      </c>
      <c r="I88" s="1">
        <v>-300794000</v>
      </c>
      <c r="J88" s="1">
        <v>-352154000</v>
      </c>
      <c r="K88" s="1">
        <v>-357018000</v>
      </c>
      <c r="L88" s="1">
        <v>-352316000</v>
      </c>
      <c r="M88" s="1">
        <v>-347725000</v>
      </c>
      <c r="T88" s="46" t="s">
        <v>130</v>
      </c>
      <c r="U88" s="47">
        <f>U85/(U86+U87)</f>
        <v>1.9274630047382814E-2</v>
      </c>
    </row>
    <row r="89" spans="1:46" ht="20" customHeight="1" x14ac:dyDescent="0.25">
      <c r="A89" s="14" t="s">
        <v>104</v>
      </c>
      <c r="B89" s="15" t="e">
        <f t="shared" ref="B89:M89" si="25">(-1*B88)/B3</f>
        <v>#VALUE!</v>
      </c>
      <c r="C89" s="15">
        <f t="shared" si="25"/>
        <v>7.2523589940171856E-2</v>
      </c>
      <c r="D89" s="15">
        <f t="shared" si="25"/>
        <v>6.9222402548741693E-2</v>
      </c>
      <c r="E89" s="15">
        <f t="shared" si="25"/>
        <v>6.1310980465978368E-2</v>
      </c>
      <c r="F89" s="15">
        <f t="shared" si="25"/>
        <v>6.4781393015409014E-2</v>
      </c>
      <c r="G89" s="15">
        <f t="shared" si="25"/>
        <v>5.6567551795700215E-2</v>
      </c>
      <c r="H89" s="15">
        <f t="shared" si="25"/>
        <v>5.5285361834884937E-2</v>
      </c>
      <c r="I89" s="15">
        <f t="shared" si="25"/>
        <v>8.794320766968948E-2</v>
      </c>
      <c r="J89" s="15">
        <f t="shared" si="25"/>
        <v>9.3493494822274106E-2</v>
      </c>
      <c r="K89" s="15">
        <f t="shared" si="25"/>
        <v>0.10319065608028233</v>
      </c>
      <c r="L89" s="15">
        <f t="shared" si="25"/>
        <v>8.2492330645527606E-2</v>
      </c>
      <c r="M89" s="15">
        <f t="shared" si="25"/>
        <v>6.8244880431868563E-2</v>
      </c>
      <c r="T89" s="44" t="s">
        <v>105</v>
      </c>
      <c r="U89" s="45">
        <f>M27</f>
        <v>238472000</v>
      </c>
      <c r="V89" s="15"/>
      <c r="AH89" s="15"/>
      <c r="AI89" s="15"/>
      <c r="AJ89" s="15"/>
      <c r="AK89" s="15"/>
      <c r="AL89" s="15"/>
      <c r="AS89" s="23" t="s">
        <v>105</v>
      </c>
      <c r="AT89" s="24">
        <f>AL27</f>
        <v>0</v>
      </c>
    </row>
    <row r="90" spans="1:46" ht="20" x14ac:dyDescent="0.25">
      <c r="A90" s="5" t="s">
        <v>75</v>
      </c>
      <c r="B90" s="1" t="s">
        <v>91</v>
      </c>
      <c r="C90" s="1" t="s">
        <v>91</v>
      </c>
      <c r="D90" s="1" t="s">
        <v>91</v>
      </c>
      <c r="E90" s="1" t="s">
        <v>91</v>
      </c>
      <c r="F90" s="1" t="s">
        <v>91</v>
      </c>
      <c r="G90" s="1">
        <v>18595000</v>
      </c>
      <c r="H90" s="1" t="s">
        <v>91</v>
      </c>
      <c r="I90" s="1" t="s">
        <v>91</v>
      </c>
      <c r="J90" s="1" t="s">
        <v>91</v>
      </c>
      <c r="K90" s="1" t="s">
        <v>91</v>
      </c>
      <c r="L90" s="1" t="s">
        <v>91</v>
      </c>
      <c r="M90" s="1">
        <v>-1367000</v>
      </c>
      <c r="T90" s="44" t="s">
        <v>19</v>
      </c>
      <c r="U90" s="45">
        <f>M25</f>
        <v>1177766000</v>
      </c>
    </row>
    <row r="91" spans="1:4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T91" s="46" t="s">
        <v>131</v>
      </c>
      <c r="U91" s="47">
        <f>U89/U90</f>
        <v>0.20247825119760632</v>
      </c>
    </row>
    <row r="92" spans="1:46" ht="20" x14ac:dyDescent="0.25">
      <c r="A92" s="5" t="s">
        <v>77</v>
      </c>
      <c r="B92" s="1" t="s">
        <v>91</v>
      </c>
      <c r="C92" s="1" t="s">
        <v>91</v>
      </c>
      <c r="D92" s="1" t="s">
        <v>91</v>
      </c>
      <c r="E92" s="1" t="s">
        <v>91</v>
      </c>
      <c r="F92" s="1" t="s">
        <v>91</v>
      </c>
      <c r="G92" s="1" t="s">
        <v>91</v>
      </c>
      <c r="H92" s="1">
        <v>8307000</v>
      </c>
      <c r="I92" s="1" t="s">
        <v>91</v>
      </c>
      <c r="J92" s="1" t="s">
        <v>91</v>
      </c>
      <c r="K92" s="1" t="s">
        <v>91</v>
      </c>
      <c r="L92" s="1" t="s">
        <v>91</v>
      </c>
      <c r="M92" s="1" t="s">
        <v>91</v>
      </c>
      <c r="T92" s="46" t="s">
        <v>132</v>
      </c>
      <c r="U92" s="47">
        <f>U88*(1-U91)</f>
        <v>1.5371936662907907E-2</v>
      </c>
    </row>
    <row r="93" spans="1:46" ht="19" x14ac:dyDescent="0.25">
      <c r="A93" s="5" t="s">
        <v>78</v>
      </c>
      <c r="B93" s="1" t="s">
        <v>91</v>
      </c>
      <c r="C93" s="1">
        <v>-96268000</v>
      </c>
      <c r="D93" s="1">
        <v>-105689000</v>
      </c>
      <c r="E93" s="1">
        <v>-120414000</v>
      </c>
      <c r="F93" s="1">
        <v>-132156000</v>
      </c>
      <c r="G93" s="1">
        <v>-163409000</v>
      </c>
      <c r="H93" s="1">
        <v>-198843000</v>
      </c>
      <c r="I93" s="1">
        <v>-336150000</v>
      </c>
      <c r="J93" s="1">
        <v>-348919000</v>
      </c>
      <c r="K93" s="1">
        <v>-351009000</v>
      </c>
      <c r="L93" s="1">
        <v>-380422000</v>
      </c>
      <c r="M93" s="1">
        <v>-456316000</v>
      </c>
      <c r="T93" s="72" t="s">
        <v>133</v>
      </c>
      <c r="U93" s="72"/>
    </row>
    <row r="94" spans="1:46" ht="20" x14ac:dyDescent="0.25">
      <c r="A94" s="6" t="s">
        <v>79</v>
      </c>
      <c r="B94" s="10" t="s">
        <v>91</v>
      </c>
      <c r="C94" s="10">
        <v>-257648000</v>
      </c>
      <c r="D94" s="10">
        <v>-267342000</v>
      </c>
      <c r="E94" s="10">
        <v>-289777000</v>
      </c>
      <c r="F94" s="10">
        <v>-317066000</v>
      </c>
      <c r="G94" s="10">
        <v>-320461000</v>
      </c>
      <c r="H94" s="10">
        <v>-379440000</v>
      </c>
      <c r="I94" s="10">
        <v>-636944000</v>
      </c>
      <c r="J94" s="10">
        <v>-701073000</v>
      </c>
      <c r="K94" s="10">
        <v>-708027000</v>
      </c>
      <c r="L94" s="10">
        <v>-732738000</v>
      </c>
      <c r="M94" s="10">
        <v>-805408000</v>
      </c>
      <c r="T94" s="44" t="s">
        <v>134</v>
      </c>
      <c r="U94" s="66">
        <f>[1]Treasuries!$C$8</f>
        <v>4.0119999999999996E-2</v>
      </c>
    </row>
    <row r="95" spans="1:46" ht="20" x14ac:dyDescent="0.25">
      <c r="A95" s="5" t="s">
        <v>80</v>
      </c>
      <c r="B95" s="1" t="s">
        <v>91</v>
      </c>
      <c r="C95" s="1">
        <v>-293504000</v>
      </c>
      <c r="D95" s="1">
        <v>-237505000</v>
      </c>
      <c r="E95" s="1">
        <v>-29353000</v>
      </c>
      <c r="F95" s="1">
        <v>-3221618000</v>
      </c>
      <c r="G95" s="1">
        <v>-1412678000</v>
      </c>
      <c r="H95" s="1">
        <v>-803534000</v>
      </c>
      <c r="I95" s="1">
        <v>-11572000</v>
      </c>
      <c r="J95" s="1">
        <v>-318911000</v>
      </c>
      <c r="K95" s="1">
        <v>-1740000</v>
      </c>
      <c r="L95" s="1">
        <v>-529642000</v>
      </c>
      <c r="M95" s="1">
        <v>-62591000</v>
      </c>
      <c r="T95" s="44" t="s">
        <v>135</v>
      </c>
      <c r="U95" s="49" cm="1">
        <f t="array" ref="U95">_FV(A1,"Beta")</f>
        <v>0.60929999999999995</v>
      </c>
    </row>
    <row r="96" spans="1:46" ht="20" x14ac:dyDescent="0.25">
      <c r="A96" s="5" t="s">
        <v>81</v>
      </c>
      <c r="B96" s="1" t="s">
        <v>91</v>
      </c>
      <c r="C96" s="1" t="s">
        <v>91</v>
      </c>
      <c r="D96" s="1" t="s">
        <v>91</v>
      </c>
      <c r="E96" s="1" t="s">
        <v>91</v>
      </c>
      <c r="F96" s="1" t="s">
        <v>91</v>
      </c>
      <c r="G96" s="1">
        <v>1384000</v>
      </c>
      <c r="H96" s="1" t="s">
        <v>91</v>
      </c>
      <c r="I96" s="1" t="s">
        <v>91</v>
      </c>
      <c r="J96" s="1" t="s">
        <v>91</v>
      </c>
      <c r="K96" s="1" t="s">
        <v>91</v>
      </c>
      <c r="L96" s="1" t="s">
        <v>91</v>
      </c>
      <c r="M96" s="1" t="s">
        <v>91</v>
      </c>
      <c r="T96" s="44" t="s">
        <v>136</v>
      </c>
      <c r="U96" s="48">
        <v>8.4000000000000005E-2</v>
      </c>
    </row>
    <row r="97" spans="1:46" ht="20" x14ac:dyDescent="0.25">
      <c r="A97" s="5" t="s">
        <v>82</v>
      </c>
      <c r="B97" s="1" t="s">
        <v>91</v>
      </c>
      <c r="C97" s="1" t="s">
        <v>91</v>
      </c>
      <c r="D97" s="1" t="s">
        <v>91</v>
      </c>
      <c r="E97" s="1" t="s">
        <v>91</v>
      </c>
      <c r="F97" s="1" t="s">
        <v>91</v>
      </c>
      <c r="G97" s="1" t="s">
        <v>91</v>
      </c>
      <c r="H97" s="1" t="s">
        <v>91</v>
      </c>
      <c r="I97" s="1">
        <v>-100093000</v>
      </c>
      <c r="J97" s="1">
        <v>-386749000</v>
      </c>
      <c r="K97" s="1">
        <v>-129793000</v>
      </c>
      <c r="L97" s="1">
        <v>-230899000</v>
      </c>
      <c r="M97" s="1">
        <v>-396522000</v>
      </c>
      <c r="T97" s="46" t="s">
        <v>137</v>
      </c>
      <c r="U97" s="47">
        <f>(U94)+((U95)*(U96-U94))</f>
        <v>6.6856083999999996E-2</v>
      </c>
    </row>
    <row r="98" spans="1:46" ht="19" x14ac:dyDescent="0.25">
      <c r="A98" s="5" t="s">
        <v>83</v>
      </c>
      <c r="B98" s="1" t="s">
        <v>91</v>
      </c>
      <c r="C98" s="1" t="s">
        <v>91</v>
      </c>
      <c r="D98" s="1" t="s">
        <v>91</v>
      </c>
      <c r="E98" s="1" t="s">
        <v>91</v>
      </c>
      <c r="F98" s="1" t="s">
        <v>91</v>
      </c>
      <c r="G98" s="1">
        <v>-86905000</v>
      </c>
      <c r="H98" s="1">
        <v>-119985000</v>
      </c>
      <c r="I98" s="1">
        <v>-133095000</v>
      </c>
      <c r="J98" s="1">
        <v>-192664000</v>
      </c>
      <c r="K98" s="1">
        <v>-208100000</v>
      </c>
      <c r="L98" s="1">
        <v>-160101000</v>
      </c>
      <c r="M98" s="1">
        <v>-249522000</v>
      </c>
      <c r="T98" s="72" t="s">
        <v>138</v>
      </c>
      <c r="U98" s="72"/>
    </row>
    <row r="99" spans="1:46" ht="20" x14ac:dyDescent="0.25">
      <c r="A99" s="5" t="s">
        <v>84</v>
      </c>
      <c r="B99" s="1" t="s">
        <v>91</v>
      </c>
      <c r="C99" s="1">
        <v>99111000</v>
      </c>
      <c r="D99" s="1">
        <v>74035000</v>
      </c>
      <c r="E99" s="1">
        <v>-92264000</v>
      </c>
      <c r="F99" s="1">
        <v>2870345000</v>
      </c>
      <c r="G99" s="1">
        <v>1087163000</v>
      </c>
      <c r="H99" s="1">
        <v>838454000</v>
      </c>
      <c r="I99" s="1">
        <v>92669000</v>
      </c>
      <c r="J99" s="1">
        <v>396795000</v>
      </c>
      <c r="K99" s="1">
        <v>679316000</v>
      </c>
      <c r="L99" s="1">
        <v>340970000</v>
      </c>
      <c r="M99" s="1">
        <v>155075000</v>
      </c>
      <c r="T99" s="44" t="s">
        <v>139</v>
      </c>
      <c r="U99" s="45">
        <f>U86+U87</f>
        <v>2811779000</v>
      </c>
    </row>
    <row r="100" spans="1:46" ht="20" x14ac:dyDescent="0.25">
      <c r="A100" s="6" t="s">
        <v>85</v>
      </c>
      <c r="B100" s="10" t="s">
        <v>91</v>
      </c>
      <c r="C100" s="10">
        <v>-194393000</v>
      </c>
      <c r="D100" s="10">
        <v>-163470000</v>
      </c>
      <c r="E100" s="10">
        <v>-121617000</v>
      </c>
      <c r="F100" s="10">
        <v>-351273000</v>
      </c>
      <c r="G100" s="10">
        <v>-411036000</v>
      </c>
      <c r="H100" s="10">
        <v>-85065000</v>
      </c>
      <c r="I100" s="10">
        <v>-152091000</v>
      </c>
      <c r="J100" s="10">
        <v>-501529000</v>
      </c>
      <c r="K100" s="10">
        <v>339683000</v>
      </c>
      <c r="L100" s="10">
        <v>-579672000</v>
      </c>
      <c r="M100" s="10">
        <v>-553560000</v>
      </c>
      <c r="T100" s="46" t="s">
        <v>140</v>
      </c>
      <c r="U100" s="47">
        <f>U99/U103</f>
        <v>4.8786853040384236E-2</v>
      </c>
    </row>
    <row r="101" spans="1:46" ht="20" x14ac:dyDescent="0.25">
      <c r="A101" s="5" t="s">
        <v>86</v>
      </c>
      <c r="B101" s="1" t="s">
        <v>91</v>
      </c>
      <c r="C101" s="1">
        <v>-4441000</v>
      </c>
      <c r="D101" s="1">
        <v>-9479000</v>
      </c>
      <c r="E101" s="1">
        <v>5819000</v>
      </c>
      <c r="F101" s="1">
        <v>9546000</v>
      </c>
      <c r="G101" s="1">
        <v>1229000</v>
      </c>
      <c r="H101" s="1">
        <v>-8372000</v>
      </c>
      <c r="I101" s="1">
        <v>952000</v>
      </c>
      <c r="J101" s="1">
        <v>791000</v>
      </c>
      <c r="K101" s="1">
        <v>-5407000</v>
      </c>
      <c r="L101" s="1">
        <v>11424000</v>
      </c>
      <c r="M101" s="1">
        <v>383000</v>
      </c>
      <c r="T101" s="44" t="s">
        <v>141</v>
      </c>
      <c r="U101" s="50" cm="1">
        <f t="array" ref="U101">_FV(A1,"Market cap",TRUE)</f>
        <v>54822170000</v>
      </c>
    </row>
    <row r="102" spans="1:46" ht="20" x14ac:dyDescent="0.25">
      <c r="A102" s="6" t="s">
        <v>87</v>
      </c>
      <c r="B102" s="10" t="s">
        <v>91</v>
      </c>
      <c r="C102" s="10">
        <v>6038000</v>
      </c>
      <c r="D102" s="10">
        <v>13723000</v>
      </c>
      <c r="E102" s="10">
        <v>20492000</v>
      </c>
      <c r="F102" s="10">
        <v>48475000</v>
      </c>
      <c r="G102" s="10">
        <v>275031000</v>
      </c>
      <c r="H102" s="10">
        <v>189922000</v>
      </c>
      <c r="I102" s="10">
        <v>145958000</v>
      </c>
      <c r="J102" s="10">
        <v>104282000</v>
      </c>
      <c r="K102" s="10">
        <v>464460000</v>
      </c>
      <c r="L102" s="10">
        <v>-18260000</v>
      </c>
      <c r="M102" s="10">
        <v>44755000</v>
      </c>
      <c r="T102" s="46" t="s">
        <v>142</v>
      </c>
      <c r="U102" s="47">
        <f>U101/U103</f>
        <v>0.95121314695961579</v>
      </c>
    </row>
    <row r="103" spans="1:46" ht="20" x14ac:dyDescent="0.25">
      <c r="A103" s="5" t="s">
        <v>88</v>
      </c>
      <c r="B103" s="1" t="s">
        <v>91</v>
      </c>
      <c r="C103" s="1">
        <v>94025000</v>
      </c>
      <c r="D103" s="1">
        <v>100063000</v>
      </c>
      <c r="E103" s="1">
        <v>113786000</v>
      </c>
      <c r="F103" s="1">
        <v>134278000</v>
      </c>
      <c r="G103" s="1">
        <v>182753000</v>
      </c>
      <c r="H103" s="1">
        <v>457784000</v>
      </c>
      <c r="I103" s="1">
        <v>647706000</v>
      </c>
      <c r="J103" s="1">
        <v>793664000</v>
      </c>
      <c r="K103" s="1">
        <v>897946000</v>
      </c>
      <c r="L103" s="1">
        <v>1362406000</v>
      </c>
      <c r="M103" s="1">
        <v>1344146000</v>
      </c>
      <c r="S103" s="32" t="s">
        <v>167</v>
      </c>
      <c r="T103" s="46" t="s">
        <v>143</v>
      </c>
      <c r="U103" s="51">
        <f>U99+U101</f>
        <v>57633949000</v>
      </c>
    </row>
    <row r="104" spans="1:46" ht="20" thickBot="1" x14ac:dyDescent="0.3">
      <c r="A104" s="7" t="s">
        <v>89</v>
      </c>
      <c r="B104" s="11" t="s">
        <v>91</v>
      </c>
      <c r="C104" s="11">
        <v>100063000</v>
      </c>
      <c r="D104" s="11">
        <v>113786000</v>
      </c>
      <c r="E104" s="11">
        <v>134278000</v>
      </c>
      <c r="F104" s="11">
        <v>182753000</v>
      </c>
      <c r="G104" s="11">
        <v>457784000</v>
      </c>
      <c r="H104" s="11">
        <v>647706000</v>
      </c>
      <c r="I104" s="11">
        <v>793664000</v>
      </c>
      <c r="J104" s="11">
        <v>897946000</v>
      </c>
      <c r="K104" s="11">
        <v>1362406000</v>
      </c>
      <c r="L104" s="11">
        <v>1344146000</v>
      </c>
      <c r="M104" s="11">
        <v>1388901000</v>
      </c>
      <c r="N104" s="73">
        <f>(N106/M105)-1</f>
        <v>3.0252881405374632E-2</v>
      </c>
      <c r="O104" s="73">
        <f>(O106/N106)-1</f>
        <v>0.17209302325581399</v>
      </c>
      <c r="P104" s="73">
        <f>(P106/O106)-1</f>
        <v>0.12222222222222223</v>
      </c>
      <c r="Q104" s="73">
        <f>(Q106/P106)-1</f>
        <v>0.13295615275813288</v>
      </c>
      <c r="R104" s="73">
        <f>(R106/Q106)-1</f>
        <v>0.12359550561797761</v>
      </c>
      <c r="S104" s="73">
        <f>SUM(N104:R104)/5</f>
        <v>0.11622395705190428</v>
      </c>
      <c r="T104" s="72" t="s">
        <v>144</v>
      </c>
      <c r="U104" s="72"/>
    </row>
    <row r="105" spans="1:46" ht="21" thickTop="1" x14ac:dyDescent="0.25">
      <c r="A105" s="14" t="s">
        <v>161</v>
      </c>
      <c r="B105" s="1" t="e">
        <f t="shared" ref="B105:L105" si="26">(B22*(1-$U$91))+B77+B88+B81</f>
        <v>#VALUE!</v>
      </c>
      <c r="C105" s="1">
        <f t="shared" si="26"/>
        <v>303842378.75265545</v>
      </c>
      <c r="D105" s="1">
        <f t="shared" si="26"/>
        <v>298357628.66987157</v>
      </c>
      <c r="E105" s="1">
        <f t="shared" si="26"/>
        <v>211919567.67133713</v>
      </c>
      <c r="F105" s="1">
        <f t="shared" si="26"/>
        <v>516222515.92591405</v>
      </c>
      <c r="G105" s="1">
        <f t="shared" si="26"/>
        <v>959601716.00640535</v>
      </c>
      <c r="H105" s="1">
        <f t="shared" si="26"/>
        <v>515825145.71655154</v>
      </c>
      <c r="I105" s="1">
        <f t="shared" si="26"/>
        <v>519736994.56428528</v>
      </c>
      <c r="J105" s="1">
        <f t="shared" si="26"/>
        <v>792435697.80075169</v>
      </c>
      <c r="K105" s="1">
        <f t="shared" si="26"/>
        <v>430358988.14705133</v>
      </c>
      <c r="L105" s="1">
        <f t="shared" si="26"/>
        <v>800777379.04133749</v>
      </c>
      <c r="M105" s="1">
        <f>(M22*(1-$U$91))+M77+M88+M81</f>
        <v>1043433140.9329188</v>
      </c>
      <c r="N105" s="31">
        <f>M105*(1+$U$106)</f>
        <v>1151997788.1066689</v>
      </c>
      <c r="O105" s="31">
        <f t="shared" ref="O105:R105" si="27">N105*(1+$U$106)</f>
        <v>1271858111.2117231</v>
      </c>
      <c r="P105" s="31">
        <f t="shared" si="27"/>
        <v>1404189375.8438957</v>
      </c>
      <c r="Q105" s="31">
        <f t="shared" si="27"/>
        <v>1550289128.8355649</v>
      </c>
      <c r="R105" s="31">
        <f t="shared" si="27"/>
        <v>1711589921.0826399</v>
      </c>
      <c r="S105" s="32" t="s">
        <v>163</v>
      </c>
      <c r="T105" s="52" t="s">
        <v>107</v>
      </c>
      <c r="U105" s="53">
        <f>(U100*U92)+(U102*U97)</f>
        <v>6.4344334469955786E-2</v>
      </c>
      <c r="V105" s="15"/>
      <c r="AH105" s="15"/>
      <c r="AI105" s="15"/>
      <c r="AJ105" s="15"/>
      <c r="AK105" s="15"/>
      <c r="AL105" s="15"/>
      <c r="AM105" s="15"/>
      <c r="AN105" s="15"/>
      <c r="AO105" s="15"/>
      <c r="AP105" s="15"/>
      <c r="AQ105" s="15"/>
      <c r="AR105" s="15"/>
      <c r="AS105" s="25" t="s">
        <v>107</v>
      </c>
      <c r="AT105" s="26">
        <f>(AT100*AT92)+(AT102*AT97)</f>
        <v>0</v>
      </c>
    </row>
    <row r="106" spans="1:46" ht="19" x14ac:dyDescent="0.25">
      <c r="A106" s="14" t="s">
        <v>106</v>
      </c>
      <c r="B106" s="1"/>
      <c r="C106" s="15" t="e">
        <f t="shared" ref="C106:M106" si="28">(C107/B107)-1</f>
        <v>#VALUE!</v>
      </c>
      <c r="D106" s="15">
        <f t="shared" si="28"/>
        <v>-0.10313565299165395</v>
      </c>
      <c r="E106" s="15">
        <f t="shared" si="28"/>
        <v>-0.47535101659649071</v>
      </c>
      <c r="F106" s="15">
        <f t="shared" si="28"/>
        <v>2.6570069429264382</v>
      </c>
      <c r="G106" s="15">
        <f t="shared" si="28"/>
        <v>0.88802960222016658</v>
      </c>
      <c r="H106" s="15">
        <f t="shared" si="28"/>
        <v>-0.5908576959258991</v>
      </c>
      <c r="I106" s="15">
        <f t="shared" si="28"/>
        <v>8.9598325650634303E-2</v>
      </c>
      <c r="J106" s="15">
        <f t="shared" si="28"/>
        <v>1.0306758424781455</v>
      </c>
      <c r="K106" s="15">
        <f t="shared" si="28"/>
        <v>-0.78481417397053366</v>
      </c>
      <c r="L106" s="15">
        <f t="shared" si="28"/>
        <v>3.2222884340053399</v>
      </c>
      <c r="M106" s="15">
        <f t="shared" si="28"/>
        <v>9.7396729736813681E-2</v>
      </c>
      <c r="N106" s="39">
        <v>1075000000</v>
      </c>
      <c r="O106" s="39">
        <v>1260000000</v>
      </c>
      <c r="P106" s="39">
        <v>1414000000</v>
      </c>
      <c r="Q106" s="39">
        <v>1602000000</v>
      </c>
      <c r="R106" s="39">
        <v>1800000000</v>
      </c>
      <c r="S106" s="32" t="s">
        <v>164</v>
      </c>
      <c r="T106" s="54" t="s">
        <v>145</v>
      </c>
      <c r="U106" s="55">
        <f>(SUM(N4:R4)/5)</f>
        <v>0.10404561913443167</v>
      </c>
    </row>
    <row r="107" spans="1:46" ht="19" x14ac:dyDescent="0.25">
      <c r="A107" s="43" t="s">
        <v>162</v>
      </c>
      <c r="B107" s="1" t="s">
        <v>91</v>
      </c>
      <c r="C107" s="1">
        <v>204168000</v>
      </c>
      <c r="D107" s="1">
        <v>183111000</v>
      </c>
      <c r="E107" s="1">
        <v>96069000</v>
      </c>
      <c r="F107" s="1">
        <v>351325000</v>
      </c>
      <c r="G107" s="1">
        <v>663312000</v>
      </c>
      <c r="H107" s="1">
        <v>271389000</v>
      </c>
      <c r="I107" s="1">
        <v>295705000</v>
      </c>
      <c r="J107" s="1">
        <v>600481000</v>
      </c>
      <c r="K107" s="1">
        <v>129215000</v>
      </c>
      <c r="L107" s="1">
        <v>545583000</v>
      </c>
      <c r="M107" s="1">
        <v>598721000</v>
      </c>
      <c r="N107" s="32"/>
      <c r="O107" s="32"/>
      <c r="P107" s="32"/>
      <c r="Q107" s="32"/>
      <c r="R107" s="40">
        <f>R106*(1+U107)/(U108-U107)</f>
        <v>46893663976.166206</v>
      </c>
      <c r="S107" s="33" t="s">
        <v>146</v>
      </c>
      <c r="T107" s="56" t="s">
        <v>147</v>
      </c>
      <c r="U107" s="57">
        <v>2.5000000000000001E-2</v>
      </c>
    </row>
    <row r="108" spans="1:46" ht="19" x14ac:dyDescent="0.25">
      <c r="N108" s="40">
        <f t="shared" ref="N108:Q108" si="29">N107+N106</f>
        <v>1075000000</v>
      </c>
      <c r="O108" s="40">
        <f t="shared" si="29"/>
        <v>1260000000</v>
      </c>
      <c r="P108" s="40">
        <f t="shared" si="29"/>
        <v>1414000000</v>
      </c>
      <c r="Q108" s="40">
        <f t="shared" si="29"/>
        <v>1602000000</v>
      </c>
      <c r="R108" s="40">
        <f>R107+R106</f>
        <v>48693663976.166206</v>
      </c>
      <c r="S108" s="33" t="s">
        <v>143</v>
      </c>
      <c r="T108" s="58" t="s">
        <v>148</v>
      </c>
      <c r="U108" s="55">
        <f>U105</f>
        <v>6.4344334469955786E-2</v>
      </c>
    </row>
    <row r="109" spans="1:46" ht="19" x14ac:dyDescent="0.25">
      <c r="N109" s="69" t="s">
        <v>149</v>
      </c>
      <c r="O109" s="69"/>
    </row>
    <row r="110" spans="1:46" ht="20" x14ac:dyDescent="0.25">
      <c r="N110" s="59" t="s">
        <v>150</v>
      </c>
      <c r="O110" s="50">
        <f>NPV(U108,N108,O108,P108,Q108,R108)</f>
        <v>40193534496.66011</v>
      </c>
    </row>
    <row r="111" spans="1:46" ht="20" x14ac:dyDescent="0.25">
      <c r="N111" s="59" t="s">
        <v>151</v>
      </c>
      <c r="O111" s="50">
        <f>M40</f>
        <v>1395969000</v>
      </c>
    </row>
    <row r="112" spans="1:46" ht="20" x14ac:dyDescent="0.25">
      <c r="N112" s="59" t="s">
        <v>139</v>
      </c>
      <c r="O112" s="50">
        <f>U99</f>
        <v>2811779000</v>
      </c>
    </row>
    <row r="113" spans="14:15" ht="20" x14ac:dyDescent="0.25">
      <c r="N113" s="59" t="s">
        <v>152</v>
      </c>
      <c r="O113" s="50">
        <f>O110+O111-O112</f>
        <v>38777724496.66011</v>
      </c>
    </row>
    <row r="114" spans="14:15" ht="20" x14ac:dyDescent="0.25">
      <c r="N114" s="59" t="s">
        <v>157</v>
      </c>
      <c r="O114" s="59">
        <f>M34*(1+(S16*5))</f>
        <v>179940705.77714956</v>
      </c>
    </row>
    <row r="115" spans="14:15" ht="20" x14ac:dyDescent="0.25">
      <c r="N115" s="60" t="s">
        <v>153</v>
      </c>
      <c r="O115" s="61">
        <f>O113/O114</f>
        <v>215.50279204020131</v>
      </c>
    </row>
    <row r="116" spans="14:15" ht="20" x14ac:dyDescent="0.25">
      <c r="N116" s="59" t="s">
        <v>154</v>
      </c>
      <c r="O116" s="62" cm="1">
        <f t="array" ref="O116">_FV(A1,"Price")</f>
        <v>286.10000000000002</v>
      </c>
    </row>
    <row r="117" spans="14:15" ht="20" x14ac:dyDescent="0.25">
      <c r="N117" s="60" t="s">
        <v>155</v>
      </c>
      <c r="O117" s="63">
        <f>O115/O116-1</f>
        <v>-0.24675710576651066</v>
      </c>
    </row>
    <row r="118" spans="14:15" ht="20" x14ac:dyDescent="0.25">
      <c r="N118" s="60" t="s">
        <v>156</v>
      </c>
      <c r="O118" s="64"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1" r:id="rId25" display="https://finbox.com/NYSE:RACE/explorer/revenue_proj" xr:uid="{859F222D-E633-5343-8176-20633AEE1B3C}"/>
    <hyperlink ref="S106" r:id="rId26" xr:uid="{96CB70EC-22C4-0A42-A688-94F3B529EE13}"/>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2023-03-13T20:55:38Z</dcterms:created>
  <dcterms:modified xsi:type="dcterms:W3CDTF">2023-08-11T08:22:55Z</dcterms:modified>
</cp:coreProperties>
</file>