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8F942A37-3C3C-154D-9CEE-2673543116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5" i="1" l="1"/>
  <c r="AA105" i="1"/>
  <c r="Z105" i="1"/>
  <c r="Y105" i="1"/>
  <c r="X105" i="1"/>
  <c r="AE95" i="1"/>
  <c r="AF7" i="1"/>
  <c r="AE7" i="1"/>
  <c r="AD7" i="1"/>
  <c r="X34" i="1" a="1"/>
  <c r="X34" i="1" s="1"/>
  <c r="X35" i="1" s="1"/>
  <c r="X33" i="1" a="1"/>
  <c r="X33" i="1" s="1"/>
  <c r="AD22" i="1"/>
  <c r="AB106" i="1"/>
  <c r="AA106" i="1"/>
  <c r="Z106" i="1"/>
  <c r="Y106" i="1"/>
  <c r="X106" i="1"/>
  <c r="Y115" i="1"/>
  <c r="AC106" i="1" l="1"/>
  <c r="Y30" i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9" i="1"/>
  <c r="Y109" i="1"/>
  <c r="Z109" i="1"/>
  <c r="AA109" i="1"/>
  <c r="AE96" i="1" l="1" a="1"/>
  <c r="AE96" i="1" s="1"/>
  <c r="Y117" i="1" a="1"/>
  <c r="Y117" i="1" s="1"/>
  <c r="Y112" i="1"/>
  <c r="AE102" i="1" a="1"/>
  <c r="AE102" i="1" s="1"/>
  <c r="AF22" i="1" s="1"/>
  <c r="AE91" i="1"/>
  <c r="AE90" i="1"/>
  <c r="AE92" i="1" s="1"/>
  <c r="AE88" i="1"/>
  <c r="AE87" i="1"/>
  <c r="AE100" i="1" s="1"/>
  <c r="AE86" i="1"/>
  <c r="AE89" i="1" s="1"/>
  <c r="AC19" i="1"/>
  <c r="AC16" i="1"/>
  <c r="AF13" i="1"/>
  <c r="AE13" i="1"/>
  <c r="AD13" i="1"/>
  <c r="AC13" i="1"/>
  <c r="AF10" i="1"/>
  <c r="AE10" i="1"/>
  <c r="AD10" i="1"/>
  <c r="AC10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I105" i="1" l="1"/>
  <c r="Q105" i="1"/>
  <c r="B105" i="1"/>
  <c r="J105" i="1"/>
  <c r="R105" i="1"/>
  <c r="K105" i="1"/>
  <c r="S105" i="1"/>
  <c r="L105" i="1"/>
  <c r="T105" i="1"/>
  <c r="E105" i="1"/>
  <c r="M105" i="1"/>
  <c r="U105" i="1"/>
  <c r="N105" i="1"/>
  <c r="V105" i="1"/>
  <c r="G105" i="1"/>
  <c r="O105" i="1"/>
  <c r="P105" i="1"/>
  <c r="F105" i="1"/>
  <c r="C105" i="1"/>
  <c r="W105" i="1"/>
  <c r="H105" i="1"/>
  <c r="D105" i="1"/>
  <c r="AE22" i="1"/>
  <c r="AF19" i="1"/>
  <c r="AE19" i="1"/>
  <c r="AD19" i="1"/>
  <c r="AE107" i="1"/>
  <c r="AE104" i="1"/>
  <c r="AE101" i="1" s="1"/>
  <c r="Y113" i="1"/>
  <c r="AF16" i="1"/>
  <c r="AE16" i="1"/>
  <c r="AD16" i="1"/>
  <c r="AE93" i="1"/>
  <c r="AE103" i="1" l="1"/>
  <c r="AE98" i="1" l="1"/>
  <c r="AE106" i="1" s="1"/>
  <c r="AE109" i="1" s="1"/>
  <c r="AB108" i="1" s="1"/>
  <c r="AB109" i="1" s="1"/>
  <c r="Y111" i="1" s="1"/>
  <c r="Y114" i="1" s="1"/>
  <c r="Y116" i="1" s="1"/>
  <c r="Y119" i="1" l="1"/>
  <c r="Y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<sst xmlns="http://schemas.openxmlformats.org/spreadsheetml/2006/main" count="640" uniqueCount="168">
  <si>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</si>
  <si>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</si>
  <si>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</si>
  <si>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</si>
  <si>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</si>
  <si>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</si>
  <si>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</si>
  <si>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</si>
  <si>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</si>
  <si>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</si>
  <si>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</si>
  <si>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</si>
  <si>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</si>
  <si>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</si>
  <si>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</si>
  <si>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</si>
  <si>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</si>
  <si>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</si>
  <si>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</si>
  <si>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</si>
  <si>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</si>
  <si>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</si>
  <si>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</si>
  <si>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</si>
  <si>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</si>
  <si>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</si>
  <si>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</si>
  <si>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</si>
  <si>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</si>
  <si>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</si>
  <si>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</si>
  <si>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</si>
  <si>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</si>
  <si>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</si>
  <si>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</si>
  <si>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</si>
  <si>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</si>
  <si>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</si>
  <si>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</si>
  <si>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</si>
  <si>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</si>
  <si>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</si>
  <si>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</si>
  <si>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</si>
  <si>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</si>
  <si>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</si>
  <si>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</si>
  <si>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</si>
  <si>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</si>
  <si>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</si>
  <si>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</si>
  <si>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</si>
  <si>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</si>
  <si>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</si>
  <si>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</si>
  <si>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</si>
  <si>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</si>
  <si>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</si>
  <si>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</si>
  <si>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</si>
  <si>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</si>
  <si>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</si>
  <si>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</si>
  <si>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</si>
  <si>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</si>
  <si>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</si>
  <si>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</si>
  <si>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</si>
  <si>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</si>
  <si>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</si>
  <si>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</si>
  <si>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</si>
  <si>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</si>
  <si>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</si>
  <si>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</si>
  <si>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</si>
  <si>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</si>
  <si>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</si>
  <si>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</si>
  <si>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</si>
  <si>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</si>
  <si>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</si>
  <si>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</si>
  <si>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</si>
  <si>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</si>
  <si>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</si>
  <si>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</si>
  <si>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</si>
  <si>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</si>
  <si>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</si>
  <si>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</si>
  <si>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</si>
  <si>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</si>
  <si>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</si>
  <si>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</si>
  <si>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</si>
  <si>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</si>
  <si>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</si>
  <si>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</si>
  <si>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</si>
  <si>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</si>
  <si>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</si>
  <si>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</si>
  <si>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</si>
  <si>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</si>
  <si>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</si>
  <si>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</si>
  <si>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</si>
  <si>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</si>
  <si>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</si>
  <si>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</si>
  <si>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</si>
  <si>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</si>
  <si>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</si>
  <si>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</si>
  <si>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</si>
  <si>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</si>
  <si>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</si>
  <si>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</si>
  <si>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</si>
  <si>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</si>
  <si>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</si>
  <si>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</si>
  <si>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</si>
  <si>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</si>
  <si>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</si>
  <si>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</si>
  <si>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</si>
  <si>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</si>
  <si>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</si>
  <si>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</si>
  <si>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</si>
  <si>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</si>
  <si>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</si>
  <si>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</si>
  <si>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</si>
  <si>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</si>
  <si>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</si>
  <si>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</si>
  <si>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</si>
  <si>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</si>
  <si>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</si>
  <si>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</si>
  <si>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</si>
  <si>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</si>
  <si>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</si>
  <si>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</si>
  <si>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</si>
  <si>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</si>
  <si>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</si>
  <si>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</si>
  <si>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</si>
  <si>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</si>
  <si>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</si>
  <si>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</si>
  <si>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</si>
  <si>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</si>
  <si>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</si>
  <si>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</si>
  <si>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</si>
  <si>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Forecast</t>
  </si>
  <si>
    <t>Forward P/S</t>
  </si>
  <si>
    <t>Forward P/E</t>
  </si>
  <si>
    <t>Forward P/FCF</t>
  </si>
  <si>
    <t>Dividend Yield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</si>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</sst>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  <numFmt numFmtId="171" formatCode="_([$€-2]\ * #,##0.00_);_([$€-2]\ * \(#,##0.00\);_([$€-2]\ * &quot;-&quot;??_);_(@_)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1" fillId="4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0" fontId="11" fillId="4" borderId="0" xfId="0" applyNumberFormat="1" applyFont="1" applyFill="1" applyAlignment="1">
      <alignment vertical="center"/>
    </xf>
    <xf numFmtId="39" fontId="1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12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10" fontId="12" fillId="5" borderId="0" xfId="0" applyNumberFormat="1" applyFont="1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9" fontId="16" fillId="4" borderId="0" xfId="0" applyNumberFormat="1" applyFont="1" applyFill="1" applyAlignment="1">
      <alignment vertical="center" wrapText="1"/>
    </xf>
    <xf numFmtId="164" fontId="1" fillId="7" borderId="0" xfId="0" applyNumberFormat="1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6" fillId="7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 wrapText="1"/>
    </xf>
    <xf numFmtId="164" fontId="1" fillId="5" borderId="0" xfId="0" applyNumberFormat="1" applyFont="1" applyFill="1" applyAlignment="1">
      <alignment vertical="center" wrapText="1"/>
    </xf>
    <xf numFmtId="167" fontId="12" fillId="5" borderId="0" xfId="0" applyNumberFormat="1" applyFont="1" applyFill="1" applyAlignment="1">
      <alignment vertical="center"/>
    </xf>
    <xf numFmtId="168" fontId="1" fillId="4" borderId="0" xfId="0" applyNumberFormat="1" applyFont="1" applyFill="1" applyAlignment="1">
      <alignment vertical="center"/>
    </xf>
    <xf numFmtId="9" fontId="12" fillId="5" borderId="0" xfId="1" applyFont="1" applyFill="1" applyBorder="1" applyAlignment="1">
      <alignment vertical="center"/>
    </xf>
    <xf numFmtId="0" fontId="12" fillId="5" borderId="0" xfId="0" applyFont="1" applyFill="1" applyAlignment="1">
      <alignment horizontal="right" vertical="center"/>
    </xf>
    <xf numFmtId="9" fontId="1" fillId="7" borderId="0" xfId="0" applyNumberFormat="1" applyFont="1" applyFill="1" applyAlignment="1">
      <alignment horizontal="center" vertical="center"/>
    </xf>
    <xf numFmtId="171" fontId="0" fillId="0" borderId="0" xfId="0" applyNumberFormat="1"/>
    <xf numFmtId="0" fontId="13" fillId="3" borderId="7" xfId="0" applyFont="1" applyFill="1" applyBorder="1" applyAlignment="1">
      <alignment horizontal="center" vertical="center" wrapText="1"/>
    </xf>
    <xf numFmtId="10" fontId="11" fillId="4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0197693574955E-2"/>
          <c:y val="0.15105901340331332"/>
          <c:w val="0.85385172981878099"/>
          <c:h val="0.596657377500613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  <c:pt idx="22">
                  <c:v>13584000000</c:v>
                </c:pt>
                <c:pt idx="23">
                  <c:v>15229000000</c:v>
                </c:pt>
                <c:pt idx="24">
                  <c:v>16629000000</c:v>
                </c:pt>
                <c:pt idx="25">
                  <c:v>17839000000</c:v>
                </c:pt>
                <c:pt idx="26">
                  <c:v>19308000000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9-EA4D-A3E3-9D186AF1FD06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1'!$B$28:$AB$28</c:f>
              <c:numCache>
                <c:formatCode>#,###,,;\(#,###,,\);\ \-\ \-</c:formatCode>
                <c:ptCount val="27"/>
                <c:pt idx="0">
                  <c:v>208200000</c:v>
                </c:pt>
                <c:pt idx="1">
                  <c:v>220400000</c:v>
                </c:pt>
                <c:pt idx="2">
                  <c:v>220700000</c:v>
                </c:pt>
                <c:pt idx="3">
                  <c:v>214700000</c:v>
                </c:pt>
                <c:pt idx="4">
                  <c:v>251800000</c:v>
                </c:pt>
                <c:pt idx="5">
                  <c:v>272800000</c:v>
                </c:pt>
                <c:pt idx="6">
                  <c:v>293800000</c:v>
                </c:pt>
                <c:pt idx="7">
                  <c:v>295300000</c:v>
                </c:pt>
                <c:pt idx="8">
                  <c:v>295400000</c:v>
                </c:pt>
                <c:pt idx="9">
                  <c:v>431700000</c:v>
                </c:pt>
                <c:pt idx="10">
                  <c:v>603400000</c:v>
                </c:pt>
                <c:pt idx="11">
                  <c:v>739900000</c:v>
                </c:pt>
                <c:pt idx="12">
                  <c:v>790300000</c:v>
                </c:pt>
                <c:pt idx="13">
                  <c:v>858800000</c:v>
                </c:pt>
                <c:pt idx="14">
                  <c:v>972600000</c:v>
                </c:pt>
                <c:pt idx="15">
                  <c:v>1100300000</c:v>
                </c:pt>
                <c:pt idx="16">
                  <c:v>1221500000</c:v>
                </c:pt>
                <c:pt idx="17">
                  <c:v>1404600000</c:v>
                </c:pt>
                <c:pt idx="18">
                  <c:v>1528200000</c:v>
                </c:pt>
                <c:pt idx="19">
                  <c:v>1385400000</c:v>
                </c:pt>
                <c:pt idx="20">
                  <c:v>2445000000</c:v>
                </c:pt>
                <c:pt idx="21">
                  <c:v>3367000000</c:v>
                </c:pt>
                <c:pt idx="22">
                  <c:v>3811000000</c:v>
                </c:pt>
                <c:pt idx="23">
                  <c:v>4438000000</c:v>
                </c:pt>
                <c:pt idx="24">
                  <c:v>4803000000</c:v>
                </c:pt>
                <c:pt idx="25">
                  <c:v>4746000000</c:v>
                </c:pt>
                <c:pt idx="26">
                  <c:v>5141000005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9-EA4D-A3E3-9D186AF1FD0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1'!$B$107:$AB$107</c:f>
              <c:numCache>
                <c:formatCode>#,###,,;\(#,###,,\);\ \-\ \-</c:formatCode>
                <c:ptCount val="27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  <c:pt idx="22">
                  <c:v>3836000000</c:v>
                </c:pt>
                <c:pt idx="23">
                  <c:v>4387000000</c:v>
                </c:pt>
                <c:pt idx="24">
                  <c:v>4965000000</c:v>
                </c:pt>
                <c:pt idx="25">
                  <c:v>4663000000</c:v>
                </c:pt>
                <c:pt idx="26">
                  <c:v>5007000000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9-EA4D-A3E3-9D186AF1F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7704512"/>
        <c:axId val="1588561680"/>
      </c:barChart>
      <c:catAx>
        <c:axId val="15877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61680"/>
        <c:crosses val="autoZero"/>
        <c:auto val="1"/>
        <c:lblAlgn val="ctr"/>
        <c:lblOffset val="100"/>
        <c:noMultiLvlLbl val="0"/>
      </c:catAx>
      <c:valAx>
        <c:axId val="15885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62671717106208"/>
          <c:y val="0.89007399555938926"/>
          <c:w val="0.31476309504064387"/>
          <c:h val="6.1060467996326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1603374</xdr:colOff>
      <xdr:row>109</xdr:row>
      <xdr:rowOff>33337</xdr:rowOff>
    </xdr:from>
    <xdr:to>
      <xdr:col>31</xdr:col>
      <xdr:colOff>15874</xdr:colOff>
      <xdr:row>127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C3B57-0B48-3057-7A36-B41D78C9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4.9020000000000001E-2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1238.5</v>
    <v>0.73229999999999995</v>
    <v>-6</v>
    <v>-3.5590000000000001E-3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1692.8</v>
    <v>Textiles &amp; Apparel</v>
    <v>Stock</v>
    <v>45218.666666666664</v>
    <v>0</v>
    <v>1668.8</v>
    <v>177990000000</v>
    <v>Hermes International SCA</v>
    <v>Hermes International SCA</v>
    <v>1673.2</v>
    <v>44.4773</v>
    <v>1686</v>
    <v>1680</v>
    <v>105569400</v>
    <v>RMS</v>
    <v>Hermes International SCA (XPAR:RMS)</v>
    <v>50452</v>
    <v>54960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abSelected="1" zoomScale="80" zoomScaleNormal="80" workbookViewId="0">
      <pane xSplit="1" ySplit="1" topLeftCell="U90" activePane="bottomRight" state="frozen"/>
      <selection pane="topRight"/>
      <selection pane="bottomLeft"/>
      <selection pane="bottomRight" activeCell="Y94" sqref="Y94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44">
        <f>(C3/B3)-1</f>
        <v>1.2551960224957304E-2</v>
      </c>
      <c r="D4" s="44">
        <f>(D3/C3)-1</f>
        <v>-9.9009900990099098E-3</v>
      </c>
      <c r="E4" s="44">
        <f>(E3/D3)-1</f>
        <v>8.2601626016260088E-2</v>
      </c>
      <c r="F4" s="44">
        <f t="shared" ref="F4:AB4" si="0">(F3/E3)-1</f>
        <v>7.1943526584559825E-2</v>
      </c>
      <c r="G4" s="44">
        <f t="shared" si="0"/>
        <v>6.1300266218299093E-2</v>
      </c>
      <c r="H4" s="44">
        <f t="shared" si="0"/>
        <v>7.2744075516535833E-2</v>
      </c>
      <c r="I4" s="44">
        <f t="shared" si="0"/>
        <v>8.584087133099505E-2</v>
      </c>
      <c r="J4" s="44">
        <f t="shared" si="0"/>
        <v>8.4835090105406241E-2</v>
      </c>
      <c r="K4" s="44">
        <f t="shared" si="0"/>
        <v>0.25413989447839946</v>
      </c>
      <c r="L4" s="44">
        <f t="shared" si="0"/>
        <v>0.18343885371542812</v>
      </c>
      <c r="M4" s="44">
        <f t="shared" si="0"/>
        <v>0.22627762917077288</v>
      </c>
      <c r="N4" s="44">
        <f t="shared" si="0"/>
        <v>7.7695818145288698E-2</v>
      </c>
      <c r="O4" s="44">
        <f t="shared" si="0"/>
        <v>9.6889315010120436E-2</v>
      </c>
      <c r="P4" s="44">
        <f t="shared" si="0"/>
        <v>0.17539940756567773</v>
      </c>
      <c r="Q4" s="44">
        <f t="shared" si="0"/>
        <v>7.4612683329890572E-2</v>
      </c>
      <c r="R4" s="44">
        <f t="shared" si="0"/>
        <v>6.6683326285033262E-2</v>
      </c>
      <c r="S4" s="44">
        <f t="shared" si="0"/>
        <v>7.5147321187219562E-2</v>
      </c>
      <c r="T4" s="44">
        <f t="shared" si="0"/>
        <v>0.15375203231591827</v>
      </c>
      <c r="U4" s="44">
        <f t="shared" si="0"/>
        <v>-7.1766859400877459E-2</v>
      </c>
      <c r="V4" s="44">
        <f t="shared" si="0"/>
        <v>0.40576579960559678</v>
      </c>
      <c r="W4" s="44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70" t="s">
        <v>112</v>
      </c>
      <c r="AE6" s="70" t="s">
        <v>113</v>
      </c>
      <c r="AF6" s="70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X21</f>
        <v>0.46127797408716137</v>
      </c>
      <c r="AE7" s="20">
        <f>X30</f>
        <v>0.28055064782096584</v>
      </c>
      <c r="AF7" s="20">
        <f>X107/X3</f>
        <v>0.28239104829210837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35">
        <f>AE102/W3</f>
        <v>15.341320461989312</v>
      </c>
      <c r="AE16" s="35">
        <f>AE102/W28</f>
        <v>52.863082863082866</v>
      </c>
      <c r="AF16" s="36">
        <f>AE102/W107</f>
        <v>42.540630975143401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161</v>
      </c>
      <c r="AE18" s="19" t="s">
        <v>162</v>
      </c>
      <c r="AF18" s="19" t="s">
        <v>163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0">
        <v>6266000000</v>
      </c>
      <c r="Y19" s="30">
        <v>7063000000</v>
      </c>
      <c r="Z19" s="30">
        <v>7853000000</v>
      </c>
      <c r="AA19" s="30">
        <v>7706000004</v>
      </c>
      <c r="AB19" s="30">
        <v>8341000005</v>
      </c>
      <c r="AC19" s="26">
        <f>W40-W56-W61</f>
        <v>7291000000</v>
      </c>
      <c r="AD19" s="35">
        <f>AE102/X3</f>
        <v>13.10291519434629</v>
      </c>
      <c r="AE19" s="35">
        <f>AE102/X28</f>
        <v>46.704277092626604</v>
      </c>
      <c r="AF19" s="36">
        <f>AE102/X107</f>
        <v>46.39989572471324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9">
        <v>0.4572</v>
      </c>
      <c r="X21" s="31">
        <f>X19/X3</f>
        <v>0.46127797408716137</v>
      </c>
      <c r="Y21" s="31">
        <f t="shared" ref="Y21:AB21" si="9">Y19/Y3</f>
        <v>0.46378619738656512</v>
      </c>
      <c r="Z21" s="31">
        <f t="shared" si="9"/>
        <v>0.47224727885020146</v>
      </c>
      <c r="AA21" s="31">
        <f t="shared" si="9"/>
        <v>0.43197488670889622</v>
      </c>
      <c r="AB21" s="31">
        <f t="shared" si="9"/>
        <v>0.43199709990677437</v>
      </c>
      <c r="AD21" s="45" t="s">
        <v>167</v>
      </c>
      <c r="AE21" s="18" t="s">
        <v>164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28">
        <v>4697000000</v>
      </c>
      <c r="AD22" s="17">
        <f>SUM(X29:AB29)/5</f>
        <v>8.9999306567101894E-2</v>
      </c>
      <c r="AE22" s="37">
        <f>(-1*W98)/AE102</f>
        <v>4.7867857744817123E-3</v>
      </c>
      <c r="AF22" s="38">
        <f>X107/AE102</f>
        <v>2.155177257149278E-2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2">
        <v>3811000000</v>
      </c>
      <c r="Y28" s="32">
        <v>4438000000</v>
      </c>
      <c r="Z28" s="32">
        <v>4803000000</v>
      </c>
      <c r="AA28" s="32">
        <v>4746000000</v>
      </c>
      <c r="AB28" s="32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3">
        <f>X28/X3</f>
        <v>0.28055064782096584</v>
      </c>
      <c r="Y30" s="33">
        <f t="shared" ref="Y30:AB30" si="16">Y28/Y3</f>
        <v>0.29141768993367917</v>
      </c>
      <c r="Z30" s="33">
        <f t="shared" si="16"/>
        <v>0.28883276204221542</v>
      </c>
      <c r="AA30" s="33">
        <f t="shared" si="16"/>
        <v>0.2660463030438926</v>
      </c>
      <c r="AB30" s="33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4">
        <v>37.119999999999997</v>
      </c>
      <c r="Y31" s="34">
        <v>42.45</v>
      </c>
      <c r="Z31" s="34">
        <v>45.94</v>
      </c>
      <c r="AA31" s="34">
        <v>45.4</v>
      </c>
      <c r="AB31" s="34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4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  <c r="X33" s="1" cm="1">
        <f t="array" ref="X33">_FV(A1,"Shares outstanding",TRUE)</f>
        <v>105569400</v>
      </c>
    </row>
    <row r="34" spans="1:24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  <c r="X34" s="1" cm="1">
        <f t="array" ref="X34">_FV(A1,"Shares outstanding",TRUE)</f>
        <v>105569400</v>
      </c>
    </row>
    <row r="35" spans="1:24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X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  <c r="X35" s="22">
        <f t="shared" si="17"/>
        <v>0.32180952282217212</v>
      </c>
    </row>
    <row r="36" spans="1:24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4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4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4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4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4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4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4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4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4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4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4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4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2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2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2" ht="19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</row>
    <row r="84" spans="1:32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46"/>
      <c r="Y84" s="46"/>
      <c r="Z84" s="46"/>
      <c r="AA84" s="46"/>
      <c r="AB84" s="46"/>
      <c r="AC84" s="46"/>
      <c r="AD84" s="75" t="s">
        <v>124</v>
      </c>
      <c r="AE84" s="76"/>
    </row>
    <row r="85" spans="1:32" ht="20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X85" s="46"/>
      <c r="Y85" s="46"/>
      <c r="Z85" s="46"/>
      <c r="AA85" s="46"/>
      <c r="AB85" s="46"/>
      <c r="AC85" s="46"/>
      <c r="AD85" s="77" t="s">
        <v>125</v>
      </c>
      <c r="AE85" s="77"/>
    </row>
    <row r="86" spans="1:32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X86" s="46"/>
      <c r="Y86" s="46"/>
      <c r="Z86" s="46"/>
      <c r="AA86" s="46"/>
      <c r="AB86" s="46"/>
      <c r="AC86" s="46"/>
      <c r="AD86" s="39" t="s">
        <v>126</v>
      </c>
      <c r="AE86" s="47">
        <f>W17</f>
        <v>-62000000</v>
      </c>
    </row>
    <row r="87" spans="1:32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X87" s="46"/>
      <c r="Y87" s="46"/>
      <c r="Z87" s="46"/>
      <c r="AA87" s="46"/>
      <c r="AB87" s="46"/>
      <c r="AC87" s="46"/>
      <c r="AD87" s="39" t="s">
        <v>127</v>
      </c>
      <c r="AE87" s="47">
        <f>W56</f>
        <v>270000000</v>
      </c>
    </row>
    <row r="88" spans="1:32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X88" s="46"/>
      <c r="Y88" s="46"/>
      <c r="Z88" s="46"/>
      <c r="AA88" s="46"/>
      <c r="AB88" s="46"/>
      <c r="AC88" s="46"/>
      <c r="AD88" s="39" t="s">
        <v>128</v>
      </c>
      <c r="AE88" s="47">
        <f>W61</f>
        <v>1664000000</v>
      </c>
    </row>
    <row r="89" spans="1:32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X89" s="46"/>
      <c r="Y89" s="46"/>
      <c r="Z89" s="46"/>
      <c r="AA89" s="46"/>
      <c r="AB89" s="46"/>
      <c r="AC89" s="46"/>
      <c r="AD89" s="40" t="s">
        <v>129</v>
      </c>
      <c r="AE89" s="48">
        <f>AE86/(AE87+AE88)</f>
        <v>-3.2057911065149949E-2</v>
      </c>
    </row>
    <row r="90" spans="1:32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X90" s="46"/>
      <c r="Y90" s="46"/>
      <c r="Z90" s="46"/>
      <c r="AA90" s="46"/>
      <c r="AB90" s="46"/>
      <c r="AC90" s="46"/>
      <c r="AD90" s="39" t="s">
        <v>105</v>
      </c>
      <c r="AE90" s="47">
        <f>W27</f>
        <v>1305000000</v>
      </c>
    </row>
    <row r="91" spans="1:32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X91" s="46"/>
      <c r="Y91" s="46"/>
      <c r="Z91" s="46"/>
      <c r="AA91" s="46"/>
      <c r="AB91" s="46"/>
      <c r="AC91" s="46"/>
      <c r="AD91" s="39" t="s">
        <v>19</v>
      </c>
      <c r="AE91" s="47">
        <f>W25</f>
        <v>4635000000</v>
      </c>
    </row>
    <row r="92" spans="1:32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X92" s="46"/>
      <c r="Y92" s="46"/>
      <c r="Z92" s="46"/>
      <c r="AA92" s="46"/>
      <c r="AB92" s="46"/>
      <c r="AC92" s="46"/>
      <c r="AD92" s="40" t="s">
        <v>130</v>
      </c>
      <c r="AE92" s="48">
        <f>AE90/AE91</f>
        <v>0.28155339805825241</v>
      </c>
    </row>
    <row r="93" spans="1:32" ht="19" customHeight="1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X93" s="46"/>
      <c r="Y93" s="46"/>
      <c r="Z93" s="46"/>
      <c r="AA93" s="46"/>
      <c r="AB93" s="46"/>
      <c r="AC93" s="46"/>
      <c r="AD93" s="40" t="s">
        <v>131</v>
      </c>
      <c r="AE93" s="48">
        <f>AE89*(1-AE92)</f>
        <v>-2.303189727010773E-2</v>
      </c>
    </row>
    <row r="94" spans="1:32" ht="20" customHeight="1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X94" s="46"/>
      <c r="Y94" s="46"/>
      <c r="Z94" s="46"/>
      <c r="AA94" s="46"/>
      <c r="AB94" s="46"/>
      <c r="AC94" s="46"/>
      <c r="AD94" s="77" t="s">
        <v>132</v>
      </c>
      <c r="AE94" s="77"/>
    </row>
    <row r="95" spans="1:32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X95" s="46"/>
      <c r="Y95" s="46"/>
      <c r="Z95" s="46"/>
      <c r="AA95" s="46"/>
      <c r="AB95" s="46"/>
      <c r="AC95" s="46"/>
      <c r="AD95" s="39" t="s">
        <v>133</v>
      </c>
      <c r="AE95" s="71">
        <f>'[1]US Treasury Bonds'!$C$8</f>
        <v>4.9020000000000001E-2</v>
      </c>
    </row>
    <row r="96" spans="1:32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46"/>
      <c r="Y96" s="46"/>
      <c r="Z96" s="46"/>
      <c r="AA96" s="46"/>
      <c r="AB96" s="46"/>
      <c r="AC96" s="46"/>
      <c r="AD96" s="39" t="s">
        <v>134</v>
      </c>
      <c r="AE96" s="50" cm="1">
        <f t="array" ref="AE96">_FV(A1,"Beta")</f>
        <v>0.73229999999999995</v>
      </c>
      <c r="AF96" s="69"/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X97" s="46"/>
      <c r="Y97" s="46"/>
      <c r="Z97" s="46"/>
      <c r="AA97" s="46"/>
      <c r="AB97" s="46"/>
      <c r="AC97" s="46"/>
      <c r="AD97" s="39" t="s">
        <v>135</v>
      </c>
      <c r="AE97" s="49">
        <v>8.4000000000000005E-2</v>
      </c>
    </row>
    <row r="98" spans="1:31" ht="19" customHeight="1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X98" s="46"/>
      <c r="Y98" s="46"/>
      <c r="Z98" s="46"/>
      <c r="AA98" s="46"/>
      <c r="AB98" s="46"/>
      <c r="AC98" s="46"/>
      <c r="AD98" s="40" t="s">
        <v>136</v>
      </c>
      <c r="AE98" s="48">
        <f>(AE95)+((AE96)*(AE97-AE95))</f>
        <v>7.4635854000000001E-2</v>
      </c>
    </row>
    <row r="99" spans="1:31" ht="20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X99" s="46"/>
      <c r="Y99" s="46"/>
      <c r="Z99" s="46"/>
      <c r="AA99" s="46"/>
      <c r="AB99" s="46"/>
      <c r="AC99" s="46"/>
      <c r="AD99" s="77" t="s">
        <v>137</v>
      </c>
      <c r="AE99" s="77"/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X100" s="46"/>
      <c r="Y100" s="46"/>
      <c r="Z100" s="46"/>
      <c r="AA100" s="46"/>
      <c r="AB100" s="46"/>
      <c r="AC100" s="46"/>
      <c r="AD100" s="39" t="s">
        <v>138</v>
      </c>
      <c r="AE100" s="47">
        <f>AE87+AE88</f>
        <v>1934000000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X101" s="46"/>
      <c r="Y101" s="46"/>
      <c r="Z101" s="46"/>
      <c r="AA101" s="46"/>
      <c r="AB101" s="46"/>
      <c r="AC101" s="46"/>
      <c r="AD101" s="40" t="s">
        <v>139</v>
      </c>
      <c r="AE101" s="48">
        <f>AE100/AE104</f>
        <v>1.0748982903892755E-2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X102" s="46"/>
      <c r="Y102" s="46"/>
      <c r="Z102" s="46"/>
      <c r="AA102" s="46"/>
      <c r="AB102" s="46"/>
      <c r="AC102" s="46"/>
      <c r="AD102" s="39" t="s">
        <v>140</v>
      </c>
      <c r="AE102" s="51" cm="1">
        <f t="array" ref="AE102">_FV(A1,"Market cap",TRUE)</f>
        <v>177990000000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X103" s="46"/>
      <c r="Y103" s="46"/>
      <c r="Z103" s="46"/>
      <c r="AA103" s="46"/>
      <c r="AB103" s="46"/>
      <c r="AC103" s="46"/>
      <c r="AD103" s="40" t="s">
        <v>141</v>
      </c>
      <c r="AE103" s="48">
        <f>AE102/AE104</f>
        <v>0.9892510170961073</v>
      </c>
    </row>
    <row r="104" spans="1:31" ht="20" customHeight="1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X104" s="79" t="s">
        <v>114</v>
      </c>
      <c r="Y104" s="79"/>
      <c r="Z104" s="79"/>
      <c r="AA104" s="79"/>
      <c r="AB104" s="79"/>
      <c r="AC104" s="46"/>
      <c r="AD104" s="40" t="s">
        <v>142</v>
      </c>
      <c r="AE104" s="52">
        <f>AE100+AE102</f>
        <v>179924000000</v>
      </c>
    </row>
    <row r="105" spans="1:31" ht="21" customHeight="1" thickTop="1" x14ac:dyDescent="0.25">
      <c r="A105" s="14" t="s">
        <v>157</v>
      </c>
      <c r="B105" s="1">
        <f t="shared" ref="B105:W105" si="20">((B22*(1-$AE$92))+B77+B88+B81)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 t="shared" si="20"/>
        <v>4054543689.3203883</v>
      </c>
      <c r="X105" s="72">
        <f>X107/X3</f>
        <v>0.28239104829210837</v>
      </c>
      <c r="Y105" s="72">
        <f>Y107/Y3</f>
        <v>0.2880688160745945</v>
      </c>
      <c r="Z105" s="72">
        <f>Z107/Z3</f>
        <v>0.29857477900054125</v>
      </c>
      <c r="AA105" s="72">
        <f>AA107/AA3</f>
        <v>0.26139357587308704</v>
      </c>
      <c r="AB105" s="72">
        <f>AB107/AB3</f>
        <v>0.25932256059664388</v>
      </c>
      <c r="AC105" s="73" t="s">
        <v>165</v>
      </c>
      <c r="AD105" s="77" t="s">
        <v>143</v>
      </c>
      <c r="AE105" s="77"/>
    </row>
    <row r="106" spans="1:31" ht="20" x14ac:dyDescent="0.25">
      <c r="A106" s="14" t="s">
        <v>158</v>
      </c>
      <c r="B106" s="1"/>
      <c r="C106" s="15">
        <f t="shared" ref="C106:W106" si="21">(C107/B107)-1</f>
        <v>0.58752735229759301</v>
      </c>
      <c r="D106" s="15">
        <f t="shared" si="21"/>
        <v>2.7567195037905279E-3</v>
      </c>
      <c r="E106" s="15">
        <f t="shared" si="21"/>
        <v>0.22268041237113412</v>
      </c>
      <c r="F106" s="15">
        <f t="shared" si="21"/>
        <v>0.14446318156267557</v>
      </c>
      <c r="G106" s="15">
        <f t="shared" si="21"/>
        <v>-0.16453831041257372</v>
      </c>
      <c r="H106" s="15">
        <f t="shared" si="21"/>
        <v>0.20458553791887124</v>
      </c>
      <c r="I106" s="15">
        <f t="shared" si="21"/>
        <v>-0.30697901415324547</v>
      </c>
      <c r="J106" s="15">
        <f t="shared" si="21"/>
        <v>0.81760563380281681</v>
      </c>
      <c r="K106" s="15">
        <f t="shared" si="21"/>
        <v>1.0360325455249901</v>
      </c>
      <c r="L106" s="15">
        <f t="shared" si="21"/>
        <v>4.7954329210275981E-2</v>
      </c>
      <c r="M106" s="15">
        <f t="shared" si="21"/>
        <v>-7.71745051752315E-2</v>
      </c>
      <c r="N106" s="15">
        <f t="shared" si="21"/>
        <v>0.34927194018103114</v>
      </c>
      <c r="O106" s="15">
        <f t="shared" si="21"/>
        <v>3.2084001750036784E-3</v>
      </c>
      <c r="P106" s="15">
        <f t="shared" si="21"/>
        <v>0.35673789795028354</v>
      </c>
      <c r="Q106" s="15">
        <f t="shared" si="21"/>
        <v>0.29840351441122892</v>
      </c>
      <c r="R106" s="15">
        <f t="shared" si="21"/>
        <v>0.10604060075920119</v>
      </c>
      <c r="S106" s="15">
        <f t="shared" si="21"/>
        <v>7.9683652913526748E-2</v>
      </c>
      <c r="T106" s="15">
        <f t="shared" si="21"/>
        <v>0.11208624144841406</v>
      </c>
      <c r="U106" s="15">
        <f t="shared" si="21"/>
        <v>-0.25806251165102845</v>
      </c>
      <c r="V106" s="15">
        <f t="shared" si="21"/>
        <v>1.8517587939698492</v>
      </c>
      <c r="W106" s="15">
        <f t="shared" si="21"/>
        <v>0.22878120411160063</v>
      </c>
      <c r="X106" s="54">
        <f>(X107/W107)-1</f>
        <v>-8.317399617590826E-2</v>
      </c>
      <c r="Y106" s="54">
        <f>(Y107/X107)-1</f>
        <v>0.14363920750782055</v>
      </c>
      <c r="Z106" s="54">
        <f>(Z107/Y107)-1</f>
        <v>0.13175290631410985</v>
      </c>
      <c r="AA106" s="54">
        <f>(AA107/Z107)-1</f>
        <v>-6.0825780463242718E-2</v>
      </c>
      <c r="AB106" s="54">
        <f>(AB107/AA107)-1</f>
        <v>7.3772249624705077E-2</v>
      </c>
      <c r="AC106" s="68">
        <f>SUM(X106:AB106)/5</f>
        <v>4.1032917361496904E-2</v>
      </c>
      <c r="AD106" s="41" t="s">
        <v>106</v>
      </c>
      <c r="AE106" s="55">
        <f>(AE101*AE93)+(AE103*AE98)</f>
        <v>7.3586025011335973E-2</v>
      </c>
    </row>
    <row r="107" spans="1:31" ht="19" x14ac:dyDescent="0.25">
      <c r="A107" s="27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56">
        <v>3836000000</v>
      </c>
      <c r="Y107" s="56">
        <v>4387000000</v>
      </c>
      <c r="Z107" s="56">
        <v>4965000000</v>
      </c>
      <c r="AA107" s="56">
        <v>4663000000</v>
      </c>
      <c r="AB107" s="56">
        <v>5007000000</v>
      </c>
      <c r="AC107" s="53" t="s">
        <v>160</v>
      </c>
      <c r="AD107" s="57" t="s">
        <v>144</v>
      </c>
      <c r="AE107" s="42">
        <f>(SUM(X4:AB4)/5)</f>
        <v>0.1077945899177299</v>
      </c>
    </row>
    <row r="108" spans="1:31" ht="19" x14ac:dyDescent="0.2">
      <c r="X108" s="74"/>
      <c r="Y108" s="74"/>
      <c r="Z108" s="74"/>
      <c r="AA108" s="74"/>
      <c r="AB108" s="58">
        <f>AB107*(1+AE108)/(AE109-AE108)</f>
        <v>105630682872.3398</v>
      </c>
      <c r="AC108" s="59" t="s">
        <v>145</v>
      </c>
      <c r="AD108" s="60" t="s">
        <v>146</v>
      </c>
      <c r="AE108" s="43">
        <v>2.5000000000000001E-2</v>
      </c>
    </row>
    <row r="109" spans="1:31" ht="19" x14ac:dyDescent="0.2">
      <c r="X109" s="58">
        <f t="shared" ref="X109:AA109" si="22">X108+X107</f>
        <v>3836000000</v>
      </c>
      <c r="Y109" s="58">
        <f t="shared" si="22"/>
        <v>4387000000</v>
      </c>
      <c r="Z109" s="58">
        <f t="shared" si="22"/>
        <v>4965000000</v>
      </c>
      <c r="AA109" s="58">
        <f t="shared" si="22"/>
        <v>4663000000</v>
      </c>
      <c r="AB109" s="58">
        <f>AB108+AB107</f>
        <v>110637682872.3398</v>
      </c>
      <c r="AC109" s="59" t="s">
        <v>142</v>
      </c>
      <c r="AD109" s="61" t="s">
        <v>147</v>
      </c>
      <c r="AE109" s="42">
        <f>AE106</f>
        <v>7.3586025011335973E-2</v>
      </c>
    </row>
    <row r="110" spans="1:31" ht="19" x14ac:dyDescent="0.2">
      <c r="X110" s="78" t="s">
        <v>148</v>
      </c>
      <c r="Y110" s="78"/>
      <c r="Z110" s="46"/>
      <c r="AA110" s="46"/>
      <c r="AB110" s="46"/>
      <c r="AC110" s="46"/>
      <c r="AD110" s="46"/>
      <c r="AE110" s="46"/>
    </row>
    <row r="111" spans="1:31" ht="20" x14ac:dyDescent="0.2">
      <c r="X111" s="62" t="s">
        <v>149</v>
      </c>
      <c r="Y111" s="51">
        <f>NPV(AE109,X109,Y109,Z109,AA109,AB109)</f>
        <v>92476292939.021362</v>
      </c>
      <c r="Z111" s="46"/>
      <c r="AA111" s="46"/>
      <c r="AB111" s="46"/>
      <c r="AC111" s="46"/>
      <c r="AD111" s="46"/>
      <c r="AE111" s="46"/>
    </row>
    <row r="112" spans="1:31" ht="20" x14ac:dyDescent="0.2">
      <c r="X112" s="62" t="s">
        <v>150</v>
      </c>
      <c r="Y112" s="51">
        <f>W40</f>
        <v>9225000000</v>
      </c>
      <c r="Z112" s="46"/>
      <c r="AA112" s="46"/>
      <c r="AB112" s="46"/>
      <c r="AC112" s="46"/>
      <c r="AD112" s="46"/>
      <c r="AE112" s="46"/>
    </row>
    <row r="113" spans="24:31" ht="20" x14ac:dyDescent="0.2">
      <c r="X113" s="62" t="s">
        <v>138</v>
      </c>
      <c r="Y113" s="51">
        <f>AE100</f>
        <v>1934000000</v>
      </c>
      <c r="Z113" s="46"/>
      <c r="AA113" s="46"/>
      <c r="AB113" s="46"/>
      <c r="AC113" s="46"/>
      <c r="AD113" s="46"/>
      <c r="AE113" s="46"/>
    </row>
    <row r="114" spans="24:31" ht="20" x14ac:dyDescent="0.2">
      <c r="X114" s="62" t="s">
        <v>151</v>
      </c>
      <c r="Y114" s="51">
        <f>Y111+Y112-Y113</f>
        <v>99767292939.021362</v>
      </c>
      <c r="Z114" s="46"/>
      <c r="AA114" s="46"/>
      <c r="AB114" s="46"/>
      <c r="AC114" s="46"/>
      <c r="AD114" s="46"/>
      <c r="AE114" s="46"/>
    </row>
    <row r="115" spans="24:31" ht="20" x14ac:dyDescent="0.2">
      <c r="X115" s="62" t="s">
        <v>152</v>
      </c>
      <c r="Y115" s="62">
        <f>W34*(1+(AC16*5))</f>
        <v>60608393.517080538</v>
      </c>
      <c r="Z115" s="46"/>
      <c r="AA115" s="46"/>
      <c r="AB115" s="46"/>
      <c r="AC115" s="46"/>
      <c r="AD115" s="46"/>
      <c r="AE115" s="46"/>
    </row>
    <row r="116" spans="24:31" ht="20" x14ac:dyDescent="0.2">
      <c r="X116" s="63" t="s">
        <v>153</v>
      </c>
      <c r="Y116" s="64">
        <f>Y114/Y115</f>
        <v>1646.0969702307839</v>
      </c>
      <c r="Z116" s="46"/>
      <c r="AA116" s="46"/>
      <c r="AB116" s="46"/>
      <c r="AC116" s="46"/>
      <c r="AD116" s="46"/>
      <c r="AE116" s="46"/>
    </row>
    <row r="117" spans="24:31" ht="20" x14ac:dyDescent="0.2">
      <c r="X117" s="62" t="s">
        <v>154</v>
      </c>
      <c r="Y117" s="65" cm="1">
        <f t="array" ref="Y117">_FV(A1,"Price")</f>
        <v>1680</v>
      </c>
      <c r="Z117" s="46"/>
      <c r="AA117" s="46"/>
      <c r="AB117" s="46"/>
      <c r="AC117" s="46"/>
      <c r="AD117" s="46"/>
      <c r="AE117" s="46"/>
    </row>
    <row r="118" spans="24:31" ht="20" x14ac:dyDescent="0.2">
      <c r="X118" s="63" t="s">
        <v>155</v>
      </c>
      <c r="Y118" s="66">
        <f>Y116/Y117-1</f>
        <v>-2.0180374862628692E-2</v>
      </c>
      <c r="Z118" s="46"/>
      <c r="AA118" s="46"/>
      <c r="AB118" s="46"/>
      <c r="AC118" s="46"/>
      <c r="AD118" s="46"/>
      <c r="AE118" s="46"/>
    </row>
    <row r="119" spans="24:31" ht="20" x14ac:dyDescent="0.2">
      <c r="X119" s="63" t="s">
        <v>156</v>
      </c>
      <c r="Y119" s="67" t="str">
        <f>IF(Y116&gt;Y117,"BUY","SELL")</f>
        <v>SELL</v>
      </c>
      <c r="Z119" s="46"/>
      <c r="AA119" s="46"/>
      <c r="AB119" s="46"/>
      <c r="AC119" s="46"/>
      <c r="AD119" s="46"/>
      <c r="AE119" s="46"/>
    </row>
  </sheetData>
  <mergeCells count="7">
    <mergeCell ref="AD84:AE84"/>
    <mergeCell ref="AD85:AE85"/>
    <mergeCell ref="X110:Y110"/>
    <mergeCell ref="X104:AB104"/>
    <mergeCell ref="AD105:AE105"/>
    <mergeCell ref="AD99:AE99"/>
    <mergeCell ref="AD94:AE9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7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2023-03-26T07:11:29Z</dcterms:created>
  <dcterms:modified xsi:type="dcterms:W3CDTF">2023-10-20T04:23:00Z</dcterms:modified>
</cp:coreProperties>
</file>