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72748C00-2B8A-6E4B-BEB9-3216F79730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5" i="1" l="1"/>
  <c r="Z105" i="1"/>
  <c r="Y105" i="1"/>
  <c r="X105" i="1"/>
  <c r="W105" i="1"/>
  <c r="AB7" i="1"/>
  <c r="W6" i="1"/>
  <c r="Z109" i="1"/>
  <c r="AE7" i="1" l="1"/>
  <c r="AD7" i="1"/>
  <c r="AC7" i="1"/>
  <c r="AC22" i="1"/>
  <c r="W109" i="1"/>
  <c r="X109" i="1"/>
  <c r="Y109" i="1"/>
  <c r="AA106" i="1"/>
  <c r="Z106" i="1"/>
  <c r="Y106" i="1"/>
  <c r="X106" i="1"/>
  <c r="W106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AE13" i="1"/>
  <c r="AC13" i="1"/>
  <c r="AB13" i="1"/>
  <c r="AB10" i="1"/>
  <c r="D116" i="2" a="1"/>
  <c r="D116" i="2" s="1"/>
  <c r="D111" i="2"/>
  <c r="B106" i="2"/>
  <c r="B105" i="2"/>
  <c r="C105" i="2" s="1"/>
  <c r="J101" i="2" a="1"/>
  <c r="J101" i="2" s="1"/>
  <c r="J99" i="2"/>
  <c r="J103" i="2" s="1"/>
  <c r="J95" i="2" a="1"/>
  <c r="J95" i="2" s="1"/>
  <c r="B93" i="2"/>
  <c r="J90" i="2"/>
  <c r="J91" i="2" s="1"/>
  <c r="J89" i="2"/>
  <c r="B89" i="2"/>
  <c r="J87" i="2"/>
  <c r="J86" i="2"/>
  <c r="J85" i="2"/>
  <c r="J88" i="2" s="1"/>
  <c r="J92" i="2" s="1"/>
  <c r="B80" i="2"/>
  <c r="B35" i="2"/>
  <c r="H16" i="2" s="1"/>
  <c r="D114" i="2" s="1"/>
  <c r="G30" i="2"/>
  <c r="F30" i="2"/>
  <c r="E30" i="2"/>
  <c r="D30" i="2"/>
  <c r="C30" i="2"/>
  <c r="B30" i="2"/>
  <c r="J7" i="2" s="1"/>
  <c r="G29" i="2"/>
  <c r="F29" i="2"/>
  <c r="E29" i="2"/>
  <c r="D29" i="2"/>
  <c r="C29" i="2"/>
  <c r="B29" i="2"/>
  <c r="B26" i="2"/>
  <c r="B23" i="2"/>
  <c r="G21" i="2"/>
  <c r="F21" i="2"/>
  <c r="E21" i="2"/>
  <c r="D21" i="2"/>
  <c r="C21" i="2"/>
  <c r="B21" i="2"/>
  <c r="I7" i="2" s="1"/>
  <c r="G20" i="2"/>
  <c r="F20" i="2"/>
  <c r="E20" i="2"/>
  <c r="D20" i="2"/>
  <c r="C20" i="2"/>
  <c r="B20" i="2"/>
  <c r="H19" i="2"/>
  <c r="B15" i="2"/>
  <c r="B16" i="2" s="1"/>
  <c r="K13" i="2"/>
  <c r="J13" i="2"/>
  <c r="I13" i="2"/>
  <c r="H13" i="2"/>
  <c r="B13" i="2"/>
  <c r="K10" i="2"/>
  <c r="J10" i="2"/>
  <c r="I10" i="2"/>
  <c r="B9" i="2"/>
  <c r="H10" i="2" s="1"/>
  <c r="K7" i="2"/>
  <c r="B7" i="2"/>
  <c r="H7" i="2" s="1"/>
  <c r="K4" i="2"/>
  <c r="J4" i="2"/>
  <c r="I4" i="2"/>
  <c r="G4" i="2"/>
  <c r="F4" i="2"/>
  <c r="E4" i="2"/>
  <c r="D4" i="2"/>
  <c r="C4" i="2"/>
  <c r="J106" i="2" s="1"/>
  <c r="B4" i="2"/>
  <c r="H4" i="2" s="1"/>
  <c r="AB106" i="1" l="1"/>
  <c r="C108" i="2"/>
  <c r="D105" i="2"/>
  <c r="K16" i="2"/>
  <c r="I16" i="2"/>
  <c r="J102" i="2"/>
  <c r="J19" i="2"/>
  <c r="J16" i="2"/>
  <c r="J22" i="2"/>
  <c r="K19" i="2"/>
  <c r="K22" i="2"/>
  <c r="I19" i="2"/>
  <c r="J100" i="2"/>
  <c r="D112" i="2"/>
  <c r="C105" i="1"/>
  <c r="D105" i="1"/>
  <c r="J105" i="1"/>
  <c r="K105" i="1"/>
  <c r="L105" i="1"/>
  <c r="R105" i="1"/>
  <c r="S105" i="1"/>
  <c r="T105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7" i="1" a="1"/>
  <c r="X117" i="1" s="1"/>
  <c r="AD102" i="1" a="1"/>
  <c r="AD102" i="1" s="1"/>
  <c r="AE22" i="1" s="1"/>
  <c r="AD96" i="1" a="1"/>
  <c r="AD96" i="1" s="1"/>
  <c r="AB19" i="1"/>
  <c r="X115" i="1"/>
  <c r="X112" i="1"/>
  <c r="AD92" i="1"/>
  <c r="E105" i="1" s="1"/>
  <c r="AD91" i="1"/>
  <c r="AD90" i="1"/>
  <c r="AD88" i="1"/>
  <c r="AD89" i="1" s="1"/>
  <c r="AD93" i="1" s="1"/>
  <c r="AD87" i="1"/>
  <c r="AD100" i="1" s="1"/>
  <c r="AD86" i="1"/>
  <c r="AB16" i="1"/>
  <c r="AD13" i="1"/>
  <c r="AE10" i="1"/>
  <c r="AD10" i="1"/>
  <c r="AC10" i="1"/>
  <c r="AD4" i="1"/>
  <c r="AC4" i="1"/>
  <c r="AB4" i="1"/>
  <c r="V93" i="1"/>
  <c r="V80" i="1"/>
  <c r="V89" i="1"/>
  <c r="V106" i="1"/>
  <c r="AE4" i="1" s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E4" i="1"/>
  <c r="D4" i="1"/>
  <c r="C4" i="1"/>
  <c r="Q105" i="1" l="1"/>
  <c r="I105" i="1"/>
  <c r="P105" i="1"/>
  <c r="H105" i="1"/>
  <c r="O105" i="1"/>
  <c r="G105" i="1"/>
  <c r="V105" i="1"/>
  <c r="N105" i="1"/>
  <c r="F105" i="1"/>
  <c r="U105" i="1"/>
  <c r="M105" i="1"/>
  <c r="D108" i="2"/>
  <c r="E105" i="2"/>
  <c r="AD19" i="1"/>
  <c r="AD22" i="1"/>
  <c r="AC19" i="1"/>
  <c r="AD16" i="1"/>
  <c r="AE16" i="1"/>
  <c r="AC16" i="1"/>
  <c r="AD107" i="1"/>
  <c r="X113" i="1"/>
  <c r="AD104" i="1"/>
  <c r="AD103" i="1" s="1"/>
  <c r="E108" i="2" l="1"/>
  <c r="F105" i="2"/>
  <c r="AE19" i="1"/>
  <c r="AD101" i="1"/>
  <c r="F108" i="2" l="1"/>
  <c r="G105" i="2"/>
  <c r="J94" i="2" l="1"/>
  <c r="J97" i="2" s="1"/>
  <c r="J105" i="2" s="1"/>
  <c r="J108" i="2" s="1"/>
  <c r="D110" i="2" l="1"/>
  <c r="D113" i="2" s="1"/>
  <c r="D115" i="2" s="1"/>
  <c r="G107" i="2"/>
  <c r="G108" i="2" s="1"/>
  <c r="D118" i="2" l="1"/>
  <c r="D117" i="2"/>
  <c r="AD95" i="1" l="1"/>
  <c r="AD98" i="1" s="1"/>
  <c r="AD106" i="1" s="1"/>
  <c r="AD109" i="1" s="1"/>
  <c r="AA108" i="1" s="1"/>
  <c r="AA109" i="1" s="1"/>
  <c r="X111" i="1" s="1"/>
  <c r="X114" i="1" s="1"/>
  <c r="X116" i="1" s="1"/>
  <c r="X119" i="1" l="1"/>
  <c r="X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<sst xmlns="http://schemas.openxmlformats.org/spreadsheetml/2006/main" count="1033" uniqueCount="171">
  <si>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</si>
  <si>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</si>
  <si>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</si>
  <si>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</si>
  <si>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</si>
  <si>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</si>
  <si>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</si>
  <si>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</si>
  <si>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</si>
  <si>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</si>
  <si>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</si>
  <si>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</si>
  <si>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</si>
  <si>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</si>
  <si>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</si>
  <si>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</si>
  <si>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</si>
  <si>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</si>
  <si>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</si>
  <si>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</si>
  <si>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</si>
  <si>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</si>
  <si>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</si>
  <si>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</si>
  <si>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</si>
  <si>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</si>
  <si>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</si>
  <si>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</si>
  <si>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</si>
  <si>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</si>
  <si>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</si>
  <si>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</si>
  <si>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</si>
  <si>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</si>
  <si>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</si>
  <si>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</si>
  <si>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</si>
  <si>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</si>
  <si>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</si>
  <si>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</si>
  <si>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</si>
  <si>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</si>
  <si>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</si>
  <si>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</si>
  <si>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</si>
  <si>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</si>
  <si>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</si>
  <si>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</si>
  <si>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</si>
  <si>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</si>
  <si>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</si>
  <si>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</si>
  <si>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</si>
  <si>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</si>
  <si>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</si>
  <si>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</si>
  <si>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</si>
  <si>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</si>
  <si>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</si>
  <si>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</si>
  <si>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</si>
  <si>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</si>
  <si>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</si>
  <si>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</si>
  <si>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</si>
  <si>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</si>
  <si>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</si>
  <si>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</si>
  <si>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</si>
  <si>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</si>
  <si>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</si>
  <si>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</si>
  <si>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</si>
  <si>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</si>
  <si>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</si>
  <si>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</si>
  <si>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</si>
  <si>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</si>
  <si>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</si>
  <si>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</si>
  <si>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</si>
  <si>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</si>
  <si>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</si>
  <si>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</si>
  <si>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</si>
  <si>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</si>
  <si>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</si>
  <si>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</si>
  <si>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</si>
  <si>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</si>
  <si>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</si>
  <si>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</si>
  <si>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</si>
  <si>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</si>
  <si>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</si>
  <si>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</si>
  <si>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</si>
  <si>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</si>
  <si>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</si>
  <si>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</si>
  <si>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</si>
  <si>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</si>
  <si>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</si>
  <si>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</si>
  <si>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</si>
  <si>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</si>
  <si>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</si>
  <si>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</si>
  <si>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</si>
  <si>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</si>
  <si>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</si>
  <si>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</si>
  <si>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</si>
  <si>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</si>
  <si>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</si>
  <si>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</si>
  <si>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</si>
  <si>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</si>
  <si>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</si>
  <si>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</si>
  <si>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</si>
  <si>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</si>
  <si>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</si>
  <si>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</si>
  <si>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</si>
  <si>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</si>
  <si>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</si>
  <si>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</si>
  <si>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</si>
  <si>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</si>
  <si>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</si>
  <si>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</si>
  <si>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</si>
  <si>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</si>
  <si>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</si>
  <si>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</si>
  <si>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</si>
  <si>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</si>
  <si>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</si>
  <si>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</si>
  <si>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</si>
  <si>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</si>
  <si>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</si>
  <si>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</si>
  <si>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</si>
  <si>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</si>
  <si>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</si>
  <si>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</si>
  <si>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</si>
  <si>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</si>
  <si>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</si>
  <si>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</si>
  <si>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</si>
  <si>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</si>
  <si>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</si>
  <si>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</si>
  <si>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</si>
  <si>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</si>
  <si>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</si>
  <si>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</si>
  <si>
    <t>Forward P/FCF</t>
  </si>
  <si>
    <t>Unlevered FCF</t>
  </si>
  <si>
    <t>Levered FCF</t>
  </si>
  <si>
    <t>Unlevered FCF Proj</t>
  </si>
  <si>
    <t>Unlevered FCF Forecast</t>
  </si>
  <si>
    <t>Dividend Yield</t>
  </si>
  <si>
    <t>FCF Yield</t>
  </si>
  <si>
    <t>5Y Fwd FCF CAGR</t>
  </si>
  <si>
    <t>Forward FCF Yield</t>
  </si>
  <si>
    <t>5Y Fwd Income CAGR</t>
  </si>
  <si>
    <t>5Y Fwd Revenue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</si>
</sst>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1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1" fillId="0" borderId="0" xfId="0" applyFont="1" applyAlignment="1">
      <alignment indent="1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1" fillId="6" borderId="0" xfId="0" applyFont="1" applyFill="1" applyAlignment="1">
      <alignment horizontal="left" vertical="center" wrapText="1"/>
    </xf>
    <xf numFmtId="0" fontId="12" fillId="6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10" fontId="1" fillId="6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0" fontId="17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9" fontId="1" fillId="7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vertical="center"/>
    </xf>
    <xf numFmtId="164" fontId="1" fillId="7" borderId="0" xfId="0" applyNumberFormat="1" applyFont="1" applyFill="1" applyAlignment="1">
      <alignment vertical="center"/>
    </xf>
    <xf numFmtId="0" fontId="0" fillId="6" borderId="0" xfId="0" applyFill="1" applyAlignment="1">
      <alignment horizontal="left" vertical="center"/>
    </xf>
    <xf numFmtId="0" fontId="13" fillId="3" borderId="7" xfId="0" applyFont="1" applyFill="1" applyBorder="1" applyAlignment="1">
      <alignment horizontal="center" vertical="center" wrapText="1"/>
    </xf>
    <xf numFmtId="9" fontId="16" fillId="6" borderId="0" xfId="0" applyNumberFormat="1" applyFont="1" applyFill="1" applyAlignment="1">
      <alignment vertical="center" wrapText="1"/>
    </xf>
    <xf numFmtId="0" fontId="16" fillId="7" borderId="0" xfId="0" applyFont="1" applyFill="1" applyAlignment="1">
      <alignment vertical="center" wrapText="1"/>
    </xf>
    <xf numFmtId="0" fontId="16" fillId="6" borderId="0" xfId="0" applyFont="1" applyFill="1" applyAlignment="1">
      <alignment vertical="center"/>
    </xf>
    <xf numFmtId="164" fontId="11" fillId="6" borderId="0" xfId="0" applyNumberFormat="1" applyFont="1" applyFill="1" applyAlignment="1">
      <alignment vertical="center"/>
    </xf>
    <xf numFmtId="10" fontId="12" fillId="6" borderId="0" xfId="0" applyNumberFormat="1" applyFont="1" applyFill="1" applyAlignment="1">
      <alignment vertical="center"/>
    </xf>
    <xf numFmtId="10" fontId="11" fillId="6" borderId="0" xfId="0" applyNumberFormat="1" applyFont="1" applyFill="1" applyAlignment="1">
      <alignment vertical="center"/>
    </xf>
    <xf numFmtId="39" fontId="11" fillId="6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/>
    </xf>
    <xf numFmtId="164" fontId="12" fillId="6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 wrapText="1"/>
    </xf>
    <xf numFmtId="164" fontId="1" fillId="4" borderId="0" xfId="0" applyNumberFormat="1" applyFont="1" applyFill="1" applyAlignment="1">
      <alignment vertical="center" wrapText="1"/>
    </xf>
    <xf numFmtId="167" fontId="12" fillId="4" borderId="0" xfId="0" applyNumberFormat="1" applyFont="1" applyFill="1" applyAlignment="1">
      <alignment vertical="center"/>
    </xf>
    <xf numFmtId="167" fontId="1" fillId="6" borderId="0" xfId="0" applyNumberFormat="1" applyFont="1" applyFill="1" applyAlignment="1">
      <alignment vertical="center"/>
    </xf>
    <xf numFmtId="9" fontId="12" fillId="4" borderId="0" xfId="1" applyFont="1" applyFill="1" applyBorder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13" fillId="3" borderId="6" xfId="0" applyFont="1" applyFill="1" applyBorder="1" applyAlignment="1">
      <alignment horizontal="center" vertical="center" wrapText="1"/>
    </xf>
    <xf numFmtId="10" fontId="11" fillId="6" borderId="0" xfId="0" applyNumberFormat="1" applyFont="1" applyFill="1"/>
    <xf numFmtId="165" fontId="10" fillId="6" borderId="0" xfId="0" applyNumberFormat="1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65" fontId="11" fillId="6" borderId="0" xfId="0" applyNumberFormat="1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 Beauty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615894039735E-2"/>
          <c:y val="0.15621070450936791"/>
          <c:w val="0.84796026490066234"/>
          <c:h val="0.638043954617020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1'!$B$3:$AA$3</c:f>
              <c:numCache>
                <c:formatCode>#,###,,;\(#,###,,\);\ \-\ \-</c:formatCode>
                <c:ptCount val="26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  <c:pt idx="21">
                  <c:v>11147000000</c:v>
                </c:pt>
                <c:pt idx="22">
                  <c:v>11699000000</c:v>
                </c:pt>
                <c:pt idx="23">
                  <c:v>12386000000</c:v>
                </c:pt>
                <c:pt idx="24">
                  <c:v>12902000000</c:v>
                </c:pt>
                <c:pt idx="25">
                  <c:v>13647000000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9-2F48-AE90-6CFDFE128092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1'!$B$28:$AA$28</c:f>
              <c:numCache>
                <c:formatCode>#,###,,;\(#,###,,\);\ \-\ \-</c:formatCode>
                <c:ptCount val="26"/>
                <c:pt idx="0">
                  <c:v>9696000</c:v>
                </c:pt>
                <c:pt idx="1">
                  <c:v>5084000</c:v>
                </c:pt>
                <c:pt idx="2">
                  <c:v>9460000</c:v>
                </c:pt>
                <c:pt idx="3">
                  <c:v>15969000</c:v>
                </c:pt>
                <c:pt idx="4">
                  <c:v>22543000</c:v>
                </c:pt>
                <c:pt idx="5">
                  <c:v>25335000</c:v>
                </c:pt>
                <c:pt idx="6">
                  <c:v>25268000</c:v>
                </c:pt>
                <c:pt idx="7">
                  <c:v>39356000</c:v>
                </c:pt>
                <c:pt idx="8">
                  <c:v>71030000</c:v>
                </c:pt>
                <c:pt idx="9">
                  <c:v>120264000</c:v>
                </c:pt>
                <c:pt idx="10">
                  <c:v>172549000</c:v>
                </c:pt>
                <c:pt idx="11">
                  <c:v>202849000</c:v>
                </c:pt>
                <c:pt idx="12">
                  <c:v>257135000</c:v>
                </c:pt>
                <c:pt idx="13">
                  <c:v>320008000</c:v>
                </c:pt>
                <c:pt idx="14">
                  <c:v>409760000</c:v>
                </c:pt>
                <c:pt idx="15">
                  <c:v>555234000</c:v>
                </c:pt>
                <c:pt idx="16">
                  <c:v>658559000</c:v>
                </c:pt>
                <c:pt idx="17">
                  <c:v>705945000</c:v>
                </c:pt>
                <c:pt idx="18">
                  <c:v>175835000</c:v>
                </c:pt>
                <c:pt idx="19">
                  <c:v>985837000</c:v>
                </c:pt>
                <c:pt idx="20">
                  <c:v>1242408000</c:v>
                </c:pt>
                <c:pt idx="21">
                  <c:v>1254000000</c:v>
                </c:pt>
                <c:pt idx="22">
                  <c:v>1301000000</c:v>
                </c:pt>
                <c:pt idx="23">
                  <c:v>1385000000</c:v>
                </c:pt>
                <c:pt idx="24">
                  <c:v>1450000000</c:v>
                </c:pt>
                <c:pt idx="25">
                  <c:v>1535000000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9-2F48-AE90-6CFDFE128092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1'!$B$107:$AA$107</c:f>
              <c:numCache>
                <c:formatCode>#,###,,;\(#,###,,\);\ \-\ \-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1170000000</c:v>
                </c:pt>
                <c:pt idx="21">
                  <c:v>981600000</c:v>
                </c:pt>
                <c:pt idx="22">
                  <c:v>1074000000</c:v>
                </c:pt>
                <c:pt idx="23">
                  <c:v>1143000000</c:v>
                </c:pt>
                <c:pt idx="24">
                  <c:v>1271000000</c:v>
                </c:pt>
                <c:pt idx="25">
                  <c:v>1346000000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69-2F48-AE90-6CFDFE128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3348719"/>
        <c:axId val="890455295"/>
      </c:barChart>
      <c:catAx>
        <c:axId val="8633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455295"/>
        <c:crosses val="autoZero"/>
        <c:auto val="1"/>
        <c:lblAlgn val="ctr"/>
        <c:lblOffset val="100"/>
        <c:noMultiLvlLbl val="0"/>
      </c:catAx>
      <c:valAx>
        <c:axId val="8904552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4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285008082598945"/>
          <c:y val="0.89845090432738528"/>
          <c:w val="0.31429983834802105"/>
          <c:h val="6.21402239741519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31750</xdr:colOff>
      <xdr:row>109</xdr:row>
      <xdr:rowOff>17463</xdr:rowOff>
    </xdr:from>
    <xdr:to>
      <xdr:col>30</xdr:col>
      <xdr:colOff>31750</xdr:colOff>
      <xdr:row>127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C39C74-35B4-4BBB-8E1E-5994A57D2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Healthcare"/>
      <sheetName val="Industrials"/>
      <sheetName val="Commodities"/>
      <sheetName val="US Treasury Bonds"/>
      <sheetName val="Full Portfolio"/>
      <sheetName val="Full Portfolio (Concentrated)"/>
      <sheetName val="Growth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4.9020000000000001E-2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369.84</v>
    <v>1.3624000000000001</v>
    <v>0.36</v>
    <v>9.6640000000000007E-4</v>
    <v>-0.21</v>
    <v>-5.6320000000000003E-4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378.935</v>
    <v>Specialty Retailers</v>
    <v>Stock</v>
    <v>45218.99921012656</v>
    <v>0</v>
    <v>369.84</v>
    <v>18355394439</v>
    <v>ULTA BEAUTY, INC.</v>
    <v>ULTA BEAUTY, INC.</v>
    <v>371.66</v>
    <v>14.954000000000001</v>
    <v>372.5</v>
    <v>372.86</v>
    <v>372.65</v>
    <v>49228650</v>
    <v>ULTA</v>
    <v>ULTA BEAUTY, INC. (XNAS:ULTA)</v>
    <v>766108</v>
    <v>766751</v>
    <v>2016</v>
  </rv>
  <rv s="2">
    <v>1</v>
  </rv>
  <rv s="3">
    <v>12</v>
    <v>1</v>
  </rv>
  <rv s="4">
    <v>12</v>
    <v>Beta</v>
    <v>0</v>
  </rv>
  <rv s="4">
    <v>12</v>
    <v>Market cap</v>
    <v>0</v>
  </rv>
  <rv s="4">
    <v>12</v>
    <v>Price</v>
    <v>0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  <s t="_error">
    <k n="errorType" t="i"/>
    <k n="propagated" t="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hyperlink" Target="https://finbox.com/NASDAQGS:ULTA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403568/000155837023003308/ulta-20230309xex99d1.htm" TargetMode="External"/><Relationship Id="rId2" Type="http://schemas.openxmlformats.org/officeDocument/2006/relationships/hyperlink" Target="https://www.sec.gov/Archives/edgar/data/1403568/000155837023003308/ulta-20230309xex99d1.htm" TargetMode="External"/><Relationship Id="rId1" Type="http://schemas.openxmlformats.org/officeDocument/2006/relationships/hyperlink" Target="https://roic.ai/company/ULTA" TargetMode="External"/><Relationship Id="rId5" Type="http://schemas.openxmlformats.org/officeDocument/2006/relationships/hyperlink" Target="https://finbox.com/NASDAQGS:ULTA/explorer/fcf_unlev_proj" TargetMode="External"/><Relationship Id="rId4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9"/>
  <sheetViews>
    <sheetView tabSelected="1" zoomScale="80" zoomScaleNormal="80" workbookViewId="0">
      <pane xSplit="1" ySplit="1" topLeftCell="S97" activePane="bottomRight" state="frozen"/>
      <selection pane="topRight"/>
      <selection pane="bottomLeft"/>
      <selection pane="bottomRight" activeCell="U111" sqref="U111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39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5">
        <v>2024</v>
      </c>
      <c r="X1" s="25">
        <v>2025</v>
      </c>
      <c r="Y1" s="25">
        <v>2026</v>
      </c>
      <c r="Z1" s="25">
        <v>2027</v>
      </c>
      <c r="AA1" s="25">
        <v>2028</v>
      </c>
    </row>
    <row r="2" spans="1:39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  <c r="AA2" s="9"/>
      <c r="AB2" s="9"/>
      <c r="AC2" s="9"/>
      <c r="AD2" s="9"/>
      <c r="AE2" s="9"/>
    </row>
    <row r="3" spans="1:3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6">
        <v>11147000000</v>
      </c>
      <c r="X3" s="26">
        <v>11699000000</v>
      </c>
      <c r="Y3" s="26">
        <v>12386000000</v>
      </c>
      <c r="Z3" s="26">
        <v>12902000000</v>
      </c>
      <c r="AA3" s="26">
        <v>13647000000</v>
      </c>
      <c r="AB3" s="18" t="s">
        <v>108</v>
      </c>
      <c r="AC3" s="19" t="s">
        <v>109</v>
      </c>
      <c r="AD3" s="19" t="s">
        <v>110</v>
      </c>
      <c r="AE3" s="19" t="s">
        <v>111</v>
      </c>
    </row>
    <row r="4" spans="1:39" ht="19" x14ac:dyDescent="0.25">
      <c r="A4" s="14" t="s">
        <v>93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V4" si="0">(F3/E3)-1</f>
        <v>0.30399861848637921</v>
      </c>
      <c r="G4" s="15">
        <f t="shared" si="0"/>
        <v>0.20795298187158751</v>
      </c>
      <c r="H4" s="15">
        <f t="shared" si="0"/>
        <v>0.18912098019933321</v>
      </c>
      <c r="I4" s="15">
        <f t="shared" si="0"/>
        <v>0.12734569619949743</v>
      </c>
      <c r="J4" s="15">
        <f t="shared" si="0"/>
        <v>0.18978778528440721</v>
      </c>
      <c r="K4" s="15">
        <f t="shared" si="0"/>
        <v>0.22085826738097292</v>
      </c>
      <c r="L4" s="15">
        <f t="shared" si="0"/>
        <v>0.25003786277180273</v>
      </c>
      <c r="M4" s="15">
        <f t="shared" si="0"/>
        <v>0.20282210700027381</v>
      </c>
      <c r="N4" s="15">
        <f t="shared" si="0"/>
        <v>0.2137354043495534</v>
      </c>
      <c r="O4" s="15">
        <f t="shared" si="0"/>
        <v>0.21063538276573879</v>
      </c>
      <c r="P4" s="15">
        <f t="shared" si="0"/>
        <v>0.23715430430700835</v>
      </c>
      <c r="Q4" s="15">
        <f t="shared" si="0"/>
        <v>0.21211633091555737</v>
      </c>
      <c r="R4" s="15">
        <f t="shared" si="0"/>
        <v>0.14140677229320531</v>
      </c>
      <c r="S4" s="15">
        <f t="shared" si="0"/>
        <v>0.10145780277714289</v>
      </c>
      <c r="T4" s="15">
        <f t="shared" si="0"/>
        <v>-0.16843789486660576</v>
      </c>
      <c r="U4" s="15">
        <f t="shared" si="0"/>
        <v>0.40295106285759985</v>
      </c>
      <c r="V4" s="15">
        <f t="shared" si="0"/>
        <v>0.18272868530692499</v>
      </c>
      <c r="W4" s="16">
        <f t="shared" ref="W4:AA4" si="1">(W3/V3)-1</f>
        <v>9.1986677115987403E-2</v>
      </c>
      <c r="X4" s="16">
        <f t="shared" si="1"/>
        <v>4.9520050237732205E-2</v>
      </c>
      <c r="Y4" s="16">
        <f t="shared" si="1"/>
        <v>5.8722967775023616E-2</v>
      </c>
      <c r="Z4" s="16">
        <f t="shared" si="1"/>
        <v>4.1659938640400407E-2</v>
      </c>
      <c r="AA4" s="16">
        <f t="shared" si="1"/>
        <v>5.7742985583630446E-2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(V106+U106+T106)/3</f>
        <v>0.16212033988598995</v>
      </c>
      <c r="AF4" s="16"/>
      <c r="AG4" s="16"/>
      <c r="AH4" s="16"/>
      <c r="AI4" s="16"/>
      <c r="AJ4" s="16"/>
      <c r="AK4" s="16"/>
      <c r="AL4" s="16"/>
      <c r="AM4" s="16"/>
    </row>
    <row r="5" spans="1:39" ht="19" x14ac:dyDescent="0.25">
      <c r="A5" s="5" t="s">
        <v>2</v>
      </c>
      <c r="B5" s="1">
        <v>259836000</v>
      </c>
      <c r="C5" s="1">
        <v>312203000</v>
      </c>
      <c r="D5" s="1" t="s">
        <v>91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39" ht="20" x14ac:dyDescent="0.25">
      <c r="A6" s="6" t="s">
        <v>3</v>
      </c>
      <c r="B6" s="10">
        <v>102381000</v>
      </c>
      <c r="C6" s="10">
        <v>111660000</v>
      </c>
      <c r="D6" s="10" t="s">
        <v>91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W6" s="59">
        <f>W3*W7</f>
        <v>4378541600</v>
      </c>
      <c r="AB6" s="101" t="s">
        <v>112</v>
      </c>
      <c r="AC6" s="84" t="s">
        <v>113</v>
      </c>
      <c r="AD6" s="84" t="s">
        <v>114</v>
      </c>
      <c r="AE6" s="84" t="s">
        <v>115</v>
      </c>
    </row>
    <row r="7" spans="1:39" ht="19" x14ac:dyDescent="0.25">
      <c r="A7" s="5" t="s">
        <v>4</v>
      </c>
      <c r="B7" s="2">
        <v>0.28270000000000001</v>
      </c>
      <c r="C7" s="2">
        <v>0.26340000000000002</v>
      </c>
      <c r="D7" s="2" t="s">
        <v>91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W7" s="2">
        <v>0.39279999999999998</v>
      </c>
      <c r="AB7" s="17">
        <f>W7</f>
        <v>0.39279999999999998</v>
      </c>
      <c r="AC7" s="20">
        <f>W21</f>
        <v>0.16847582309141473</v>
      </c>
      <c r="AD7" s="20">
        <f>W30</f>
        <v>0.11249663586615233</v>
      </c>
      <c r="AE7" s="20">
        <f>W107/W3</f>
        <v>8.805956759666278E-2</v>
      </c>
    </row>
    <row r="8" spans="1:3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9" ht="19" customHeight="1" x14ac:dyDescent="0.25">
      <c r="A9" s="14" t="s">
        <v>94</v>
      </c>
      <c r="B9" s="15">
        <f>B8/B3</f>
        <v>0</v>
      </c>
      <c r="C9" s="15">
        <f t="shared" ref="C9:V9" si="2">C8/C3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  <c r="L9" s="15">
        <f t="shared" si="2"/>
        <v>0</v>
      </c>
      <c r="M9" s="15">
        <f t="shared" si="2"/>
        <v>0</v>
      </c>
      <c r="N9" s="15">
        <f t="shared" si="2"/>
        <v>0</v>
      </c>
      <c r="O9" s="15">
        <f t="shared" si="2"/>
        <v>0</v>
      </c>
      <c r="P9" s="15">
        <f t="shared" si="2"/>
        <v>0</v>
      </c>
      <c r="Q9" s="15">
        <f t="shared" si="2"/>
        <v>0</v>
      </c>
      <c r="R9" s="15">
        <f t="shared" si="2"/>
        <v>0</v>
      </c>
      <c r="S9" s="15">
        <f t="shared" si="2"/>
        <v>0</v>
      </c>
      <c r="T9" s="15">
        <f t="shared" si="2"/>
        <v>0</v>
      </c>
      <c r="U9" s="15">
        <f t="shared" si="2"/>
        <v>0</v>
      </c>
      <c r="V9" s="15">
        <f t="shared" si="2"/>
        <v>0</v>
      </c>
      <c r="W9" s="15"/>
      <c r="X9" s="15"/>
      <c r="Y9" s="15"/>
      <c r="Z9" s="15"/>
      <c r="AB9" s="18" t="s">
        <v>95</v>
      </c>
      <c r="AC9" s="19" t="s">
        <v>96</v>
      </c>
      <c r="AD9" s="19" t="s">
        <v>97</v>
      </c>
      <c r="AE9" s="19" t="s">
        <v>98</v>
      </c>
      <c r="AF9" s="15"/>
      <c r="AG9" s="15"/>
      <c r="AH9" s="15"/>
      <c r="AI9" s="15"/>
      <c r="AJ9" s="15"/>
      <c r="AK9" s="15"/>
      <c r="AL9" s="15"/>
    </row>
    <row r="10" spans="1:39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>
        <v>1583017000</v>
      </c>
      <c r="U10" s="1" t="s">
        <v>91</v>
      </c>
      <c r="V10" s="1" t="s">
        <v>91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39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</row>
    <row r="12" spans="1:39" ht="20" x14ac:dyDescent="0.25">
      <c r="A12" s="5" t="s">
        <v>8</v>
      </c>
      <c r="B12" s="1">
        <v>86382000</v>
      </c>
      <c r="C12" s="1">
        <v>98446000</v>
      </c>
      <c r="D12" s="1" t="s">
        <v>91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116</v>
      </c>
      <c r="AC12" s="19" t="s">
        <v>117</v>
      </c>
      <c r="AD12" s="19" t="s">
        <v>118</v>
      </c>
      <c r="AE12" s="19" t="s">
        <v>119</v>
      </c>
    </row>
    <row r="13" spans="1:39" ht="19" x14ac:dyDescent="0.25">
      <c r="A13" s="14" t="s">
        <v>99</v>
      </c>
      <c r="B13" s="15">
        <f>B12/B3</f>
        <v>0.23848135233851531</v>
      </c>
      <c r="C13" s="15">
        <f t="shared" ref="C13:V13" si="3">C12/C3</f>
        <v>0.23225900821727774</v>
      </c>
      <c r="D13" s="15" t="e">
        <f t="shared" si="3"/>
        <v>#VALUE!</v>
      </c>
      <c r="E13" s="15">
        <f t="shared" si="3"/>
        <v>0.2501523982213012</v>
      </c>
      <c r="F13" s="15">
        <f t="shared" si="3"/>
        <v>0.25836662857082315</v>
      </c>
      <c r="G13" s="15">
        <f t="shared" si="3"/>
        <v>0.25974602610780573</v>
      </c>
      <c r="H13" s="15">
        <f t="shared" si="3"/>
        <v>0.25965430195658307</v>
      </c>
      <c r="I13" s="15">
        <f t="shared" si="3"/>
        <v>0.24934840620197896</v>
      </c>
      <c r="J13" s="15">
        <f t="shared" si="3"/>
        <v>0.25102520005663859</v>
      </c>
      <c r="K13" s="15">
        <f t="shared" si="3"/>
        <v>0.23120669357503951</v>
      </c>
      <c r="L13" s="15">
        <f t="shared" si="3"/>
        <v>0.22019082484182004</v>
      </c>
      <c r="M13" s="15">
        <f t="shared" si="3"/>
        <v>0.22331911541081259</v>
      </c>
      <c r="N13" s="15">
        <f t="shared" si="3"/>
        <v>0.21966212424441647</v>
      </c>
      <c r="O13" s="15">
        <f t="shared" si="3"/>
        <v>0.22001235437484518</v>
      </c>
      <c r="P13" s="15">
        <f t="shared" si="3"/>
        <v>0.22119303270187449</v>
      </c>
      <c r="Q13" s="15">
        <f t="shared" si="3"/>
        <v>0.21874937335436484</v>
      </c>
      <c r="R13" s="15">
        <f t="shared" si="3"/>
        <v>0.22860682054874368</v>
      </c>
      <c r="S13" s="15">
        <f t="shared" si="3"/>
        <v>0.23799673103842786</v>
      </c>
      <c r="T13" s="15">
        <f t="shared" si="3"/>
        <v>0.25731942360417903</v>
      </c>
      <c r="U13" s="15">
        <f t="shared" si="3"/>
        <v>0.23885662299677357</v>
      </c>
      <c r="V13" s="15">
        <f t="shared" si="3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39" ht="19" x14ac:dyDescent="0.25">
      <c r="A14" s="5" t="s">
        <v>9</v>
      </c>
      <c r="B14" s="1">
        <v>2751000</v>
      </c>
      <c r="C14" s="1">
        <v>2318000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39" ht="20" x14ac:dyDescent="0.25">
      <c r="A15" s="5" t="s">
        <v>10</v>
      </c>
      <c r="B15" s="1">
        <v>89133000</v>
      </c>
      <c r="C15" s="1">
        <v>100764000</v>
      </c>
      <c r="D15" s="1" t="s">
        <v>91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120</v>
      </c>
      <c r="AC15" s="19" t="s">
        <v>121</v>
      </c>
      <c r="AD15" s="19" t="s">
        <v>122</v>
      </c>
      <c r="AE15" s="19" t="s">
        <v>123</v>
      </c>
    </row>
    <row r="16" spans="1:39" ht="19" x14ac:dyDescent="0.25">
      <c r="A16" s="5" t="s">
        <v>11</v>
      </c>
      <c r="B16" s="1">
        <v>348969000</v>
      </c>
      <c r="C16" s="1">
        <v>412967000</v>
      </c>
      <c r="D16" s="1" t="s">
        <v>91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7">
        <f>(V35+U35+T35+S35+R35)/5</f>
        <v>-3.4529845148112706E-2</v>
      </c>
      <c r="AC16" s="64">
        <f>AD102/V3</f>
        <v>1.7981381699647336</v>
      </c>
      <c r="AD16" s="64">
        <f>AD102/V28</f>
        <v>14.774047204300036</v>
      </c>
      <c r="AE16" s="65">
        <f>AD102/V107</f>
        <v>15.688371315384616</v>
      </c>
    </row>
    <row r="17" spans="1:3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38" ht="20" x14ac:dyDescent="0.25">
      <c r="A18" s="5" t="s">
        <v>13</v>
      </c>
      <c r="B18" s="1">
        <v>12522000</v>
      </c>
      <c r="C18" s="1">
        <v>15411000</v>
      </c>
      <c r="D18" s="1" t="s">
        <v>91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157</v>
      </c>
      <c r="AC18" s="19" t="s">
        <v>158</v>
      </c>
      <c r="AD18" s="19" t="s">
        <v>159</v>
      </c>
      <c r="AE18" s="19" t="s">
        <v>160</v>
      </c>
    </row>
    <row r="19" spans="1:38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59">
        <v>1878000000</v>
      </c>
      <c r="X19" s="59">
        <v>1947000000</v>
      </c>
      <c r="Y19" s="59">
        <v>2096000000</v>
      </c>
      <c r="Z19" s="59">
        <v>2281000000</v>
      </c>
      <c r="AA19" s="59">
        <v>2420000000</v>
      </c>
      <c r="AB19" s="46">
        <f>V40-V56-V61</f>
        <v>-1165299000</v>
      </c>
      <c r="AC19" s="64">
        <f>AD102/W3</f>
        <v>1.6466667658562841</v>
      </c>
      <c r="AD19" s="66">
        <f>AD102/W28</f>
        <v>14.637475629186603</v>
      </c>
      <c r="AE19" s="65">
        <f>AD102/W107</f>
        <v>18.699464587408311</v>
      </c>
    </row>
    <row r="20" spans="1:38" ht="19" customHeight="1" x14ac:dyDescent="0.25">
      <c r="A20" s="14" t="s">
        <v>100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4">(F19/E19)-1</f>
        <v>0.36408384265146232</v>
      </c>
      <c r="G20" s="15">
        <f t="shared" si="4"/>
        <v>0.22811607277101187</v>
      </c>
      <c r="H20" s="15">
        <f t="shared" si="4"/>
        <v>0.19666511593741576</v>
      </c>
      <c r="I20" s="15">
        <f t="shared" si="4"/>
        <v>0.3332412579542896</v>
      </c>
      <c r="J20" s="15">
        <f t="shared" si="4"/>
        <v>0.4105387549014341</v>
      </c>
      <c r="K20" s="15">
        <f t="shared" si="4"/>
        <v>0.4803938635621805</v>
      </c>
      <c r="L20" s="15">
        <f t="shared" si="4"/>
        <v>0.35309011266839629</v>
      </c>
      <c r="M20" s="15">
        <f t="shared" si="4"/>
        <v>0.17896260567989541</v>
      </c>
      <c r="N20" s="15">
        <f t="shared" si="4"/>
        <v>0.25307124741135256</v>
      </c>
      <c r="O20" s="15">
        <f t="shared" si="4"/>
        <v>0.23836923931047282</v>
      </c>
      <c r="P20" s="15">
        <f t="shared" si="4"/>
        <v>0.28690293810270306</v>
      </c>
      <c r="Q20" s="15">
        <f t="shared" si="4"/>
        <v>0.20099342599310877</v>
      </c>
      <c r="R20" s="15">
        <f t="shared" si="4"/>
        <v>9.8482432717982293E-2</v>
      </c>
      <c r="S20" s="15">
        <f t="shared" si="4"/>
        <v>5.5200170678007865E-2</v>
      </c>
      <c r="T20" s="15">
        <f t="shared" si="4"/>
        <v>-0.56652317482940484</v>
      </c>
      <c r="U20" s="15">
        <f t="shared" si="4"/>
        <v>1.9871158161958395</v>
      </c>
      <c r="V20" s="15">
        <f t="shared" si="4"/>
        <v>0.12058803578079469</v>
      </c>
      <c r="W20" s="16">
        <f t="shared" ref="W20" si="5">(W19/V19)-1</f>
        <v>7.2493232670496788E-2</v>
      </c>
      <c r="X20" s="16">
        <f t="shared" ref="X20" si="6">(X19/W19)-1</f>
        <v>3.6741214057508076E-2</v>
      </c>
      <c r="Y20" s="16">
        <f t="shared" ref="Y20" si="7">(Y19/X19)-1</f>
        <v>7.6527991782229021E-2</v>
      </c>
      <c r="Z20" s="16">
        <f t="shared" ref="Z20" si="8">(Z19/Y19)-1</f>
        <v>8.82633587786259E-2</v>
      </c>
      <c r="AA20" s="16">
        <f t="shared" ref="AA20" si="9">(AA19/Z19)-1</f>
        <v>6.0938185006575996E-2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0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58">
        <f>V19/V3</f>
        <v>0.17153800940438871</v>
      </c>
      <c r="W21" s="60">
        <f>W19/W3</f>
        <v>0.16847582309141473</v>
      </c>
      <c r="X21" s="60">
        <f t="shared" ref="X21:AA21" si="10">X19/X3</f>
        <v>0.16642448072484828</v>
      </c>
      <c r="Y21" s="60">
        <f t="shared" si="10"/>
        <v>0.16922331664782819</v>
      </c>
      <c r="Z21" s="60">
        <f t="shared" si="10"/>
        <v>0.17679429545806852</v>
      </c>
      <c r="AA21" s="60">
        <f t="shared" si="10"/>
        <v>0.17732835055323515</v>
      </c>
      <c r="AC21" s="76" t="s">
        <v>169</v>
      </c>
      <c r="AD21" s="18" t="s">
        <v>165</v>
      </c>
      <c r="AE21" s="19" t="s">
        <v>168</v>
      </c>
    </row>
    <row r="22" spans="1:38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7">
        <v>1638610000</v>
      </c>
      <c r="AC22" s="17">
        <f>SUM(W29:AA29)/5</f>
        <v>4.3385629677771619E-2</v>
      </c>
      <c r="AD22" s="69">
        <f>(-1*V98)/AD102</f>
        <v>0</v>
      </c>
      <c r="AE22" s="70">
        <f>W107/AD102</f>
        <v>5.3477466979101183E-2</v>
      </c>
    </row>
    <row r="23" spans="1:38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38" ht="19" x14ac:dyDescent="0.25">
      <c r="A24" s="5" t="s">
        <v>18</v>
      </c>
      <c r="B24" s="1">
        <v>-2349000</v>
      </c>
      <c r="C24" s="1">
        <v>-2789000</v>
      </c>
      <c r="D24" s="1" t="s">
        <v>91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38" ht="19" x14ac:dyDescent="0.25">
      <c r="A25" s="6" t="s">
        <v>19</v>
      </c>
      <c r="B25" s="10">
        <v>10899000</v>
      </c>
      <c r="C25" s="10">
        <v>8107000</v>
      </c>
      <c r="D25" s="10" t="s">
        <v>91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38" ht="19" x14ac:dyDescent="0.25">
      <c r="A26" s="5" t="s">
        <v>20</v>
      </c>
      <c r="B26" s="2">
        <v>3.0099999999999998E-2</v>
      </c>
      <c r="C26" s="2">
        <v>1.9099999999999999E-2</v>
      </c>
      <c r="D26" s="2" t="s">
        <v>91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38" ht="19" x14ac:dyDescent="0.25">
      <c r="A27" s="5" t="s">
        <v>21</v>
      </c>
      <c r="B27" s="1">
        <v>1203000</v>
      </c>
      <c r="C27" s="1">
        <v>3023000</v>
      </c>
      <c r="D27" s="1" t="s">
        <v>91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38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1">
        <v>1254000000</v>
      </c>
      <c r="X28" s="61">
        <v>1301000000</v>
      </c>
      <c r="Y28" s="61">
        <v>1385000000</v>
      </c>
      <c r="Z28" s="61">
        <v>1450000000</v>
      </c>
      <c r="AA28" s="61">
        <v>1535000000</v>
      </c>
    </row>
    <row r="29" spans="1:38" ht="20" customHeight="1" thickTop="1" x14ac:dyDescent="0.25">
      <c r="A29" s="14" t="s">
        <v>101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1">(F28/E28)-1</f>
        <v>0.41167261569290492</v>
      </c>
      <c r="G29" s="15">
        <f t="shared" si="11"/>
        <v>0.12385219358559207</v>
      </c>
      <c r="H29" s="15">
        <f t="shared" si="11"/>
        <v>-2.6445628577067559E-3</v>
      </c>
      <c r="I29" s="15">
        <f t="shared" si="11"/>
        <v>0.55754313756529994</v>
      </c>
      <c r="J29" s="15">
        <f t="shared" si="11"/>
        <v>0.80480739912592747</v>
      </c>
      <c r="K29" s="15">
        <f t="shared" si="11"/>
        <v>0.69314374208081087</v>
      </c>
      <c r="L29" s="15">
        <f t="shared" si="11"/>
        <v>0.43475187919909541</v>
      </c>
      <c r="M29" s="15">
        <f t="shared" si="11"/>
        <v>0.17560229268207861</v>
      </c>
      <c r="N29" s="15">
        <f t="shared" si="11"/>
        <v>0.26761778465755315</v>
      </c>
      <c r="O29" s="15">
        <f t="shared" si="11"/>
        <v>0.24451358235946108</v>
      </c>
      <c r="P29" s="15">
        <f t="shared" si="11"/>
        <v>0.28046798830029251</v>
      </c>
      <c r="Q29" s="15">
        <f t="shared" si="11"/>
        <v>0.35502245216712214</v>
      </c>
      <c r="R29" s="15">
        <f t="shared" si="11"/>
        <v>0.18609271046081477</v>
      </c>
      <c r="S29" s="15">
        <f t="shared" si="11"/>
        <v>7.1954069415192778E-2</v>
      </c>
      <c r="T29" s="15">
        <f t="shared" si="11"/>
        <v>-0.7509225222928132</v>
      </c>
      <c r="U29" s="15">
        <f t="shared" si="11"/>
        <v>4.6066027810162939</v>
      </c>
      <c r="V29" s="15">
        <f t="shared" si="11"/>
        <v>0.26025702017676355</v>
      </c>
      <c r="W29" s="16">
        <f t="shared" ref="W29" si="12">(W28/V28)-1</f>
        <v>9.3302683176541557E-3</v>
      </c>
      <c r="X29" s="16">
        <f t="shared" ref="X29" si="13">(X28/W28)-1</f>
        <v>3.7480063795853225E-2</v>
      </c>
      <c r="Y29" s="16">
        <f t="shared" ref="Y29" si="14">(Y28/X28)-1</f>
        <v>6.4565718677940032E-2</v>
      </c>
      <c r="Z29" s="16">
        <f t="shared" ref="Z29" si="15">(Z28/Y28)-1</f>
        <v>4.6931407942238268E-2</v>
      </c>
      <c r="AA29" s="16">
        <f t="shared" ref="AA29" si="16">(AA28/Z28)-1</f>
        <v>5.862068965517242E-2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2">
        <f t="shared" ref="W30:AA30" si="17">W28/W3</f>
        <v>0.11249663586615233</v>
      </c>
      <c r="X30" s="62">
        <f t="shared" si="17"/>
        <v>0.11120608599025558</v>
      </c>
      <c r="Y30" s="62">
        <f t="shared" si="17"/>
        <v>0.11181979654448571</v>
      </c>
      <c r="Z30" s="62">
        <f t="shared" si="17"/>
        <v>0.11238567663928073</v>
      </c>
      <c r="AA30" s="62">
        <f t="shared" si="17"/>
        <v>0.11247893309884957</v>
      </c>
    </row>
    <row r="31" spans="1:38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3">
        <v>25.18</v>
      </c>
      <c r="X31" s="63">
        <v>26.12</v>
      </c>
      <c r="Y31" s="63">
        <v>27.81</v>
      </c>
      <c r="Z31" s="63">
        <v>29.12</v>
      </c>
      <c r="AA31" s="63">
        <v>30.82</v>
      </c>
    </row>
    <row r="32" spans="1:38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102</v>
      </c>
      <c r="B35" s="1"/>
      <c r="C35" s="22">
        <f>(C34-B34)/B34</f>
        <v>-0.41149604975244208</v>
      </c>
      <c r="D35" s="22">
        <f t="shared" ref="D35:V35" si="18">(D34-C34)/C34</f>
        <v>0.36448348348348347</v>
      </c>
      <c r="E35" s="22">
        <f t="shared" si="18"/>
        <v>14.153138815152182</v>
      </c>
      <c r="F35" s="22">
        <f t="shared" si="18"/>
        <v>3.577741749148896E-2</v>
      </c>
      <c r="G35" s="22">
        <f t="shared" si="18"/>
        <v>6.7555769637838922E-2</v>
      </c>
      <c r="H35" s="22">
        <f t="shared" si="18"/>
        <v>0.10646801643743081</v>
      </c>
      <c r="I35" s="22">
        <f t="shared" si="18"/>
        <v>4.578832228195431E-3</v>
      </c>
      <c r="J35" s="22">
        <f t="shared" si="18"/>
        <v>3.4623630501207016E-2</v>
      </c>
      <c r="K35" s="22">
        <f t="shared" si="18"/>
        <v>3.338337031719097E-2</v>
      </c>
      <c r="L35" s="22">
        <f t="shared" si="18"/>
        <v>1.6768244544794267E-2</v>
      </c>
      <c r="M35" s="22">
        <f t="shared" si="18"/>
        <v>1.0093794645630162E-3</v>
      </c>
      <c r="N35" s="22">
        <f t="shared" si="18"/>
        <v>2.947518654690433E-3</v>
      </c>
      <c r="O35" s="22">
        <f t="shared" si="18"/>
        <v>-5.8158419823359266E-3</v>
      </c>
      <c r="P35" s="22">
        <f t="shared" si="18"/>
        <v>-2.2154803578374172E-2</v>
      </c>
      <c r="Q35" s="22">
        <f t="shared" si="18"/>
        <v>-1.3937725732287473E-2</v>
      </c>
      <c r="R35" s="22">
        <f t="shared" si="18"/>
        <v>-2.8947156111335217E-2</v>
      </c>
      <c r="S35" s="22">
        <f t="shared" si="18"/>
        <v>-3.4495937255944568E-2</v>
      </c>
      <c r="T35" s="22">
        <f t="shared" si="18"/>
        <v>-2.6624214783581446E-2</v>
      </c>
      <c r="U35" s="22">
        <f t="shared" si="18"/>
        <v>-3.0358216344283744E-2</v>
      </c>
      <c r="V35" s="22">
        <f t="shared" si="18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</row>
    <row r="38" spans="1:38" ht="19" x14ac:dyDescent="0.25">
      <c r="A38" s="5" t="s">
        <v>30</v>
      </c>
      <c r="B38" s="1" t="s">
        <v>91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91</v>
      </c>
      <c r="S39" s="1">
        <v>110000000</v>
      </c>
      <c r="T39" s="1" t="s">
        <v>91</v>
      </c>
      <c r="U39" s="1" t="s">
        <v>91</v>
      </c>
      <c r="V39" s="1" t="s">
        <v>91</v>
      </c>
    </row>
    <row r="40" spans="1:38" ht="19" x14ac:dyDescent="0.25">
      <c r="A40" s="5" t="s">
        <v>32</v>
      </c>
      <c r="B40" s="1" t="s">
        <v>91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91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</row>
    <row r="50" spans="1:22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>
        <v>3962000</v>
      </c>
      <c r="F50" s="1">
        <v>4125000</v>
      </c>
      <c r="G50" s="1">
        <v>4080000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</row>
    <row r="51" spans="1:22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>
        <v>199000</v>
      </c>
      <c r="F51" s="1">
        <v>346000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91</v>
      </c>
      <c r="C53" s="1">
        <v>195059000</v>
      </c>
      <c r="D53" s="1">
        <v>206420000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</row>
    <row r="54" spans="1:22" ht="20" thickBot="1" x14ac:dyDescent="0.3">
      <c r="A54" s="7" t="s">
        <v>46</v>
      </c>
      <c r="B54" s="11" t="s">
        <v>91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>
        <v>18000000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91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>
        <v>10781000</v>
      </c>
      <c r="J57" s="1" t="s">
        <v>91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>
        <v>101288000</v>
      </c>
      <c r="I62" s="1">
        <v>113718000</v>
      </c>
      <c r="J62" s="1">
        <v>134572000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</row>
    <row r="63" spans="1:22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>
        <v>45241000</v>
      </c>
      <c r="F64" s="1">
        <v>55159000</v>
      </c>
      <c r="G64" s="1">
        <v>71235000</v>
      </c>
      <c r="H64" s="1" t="s">
        <v>91</v>
      </c>
      <c r="I64" s="1" t="s">
        <v>91</v>
      </c>
      <c r="J64" s="1" t="s">
        <v>91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91</v>
      </c>
      <c r="C66" s="1">
        <v>107700000</v>
      </c>
      <c r="D66" s="1">
        <v>113642000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</row>
    <row r="67" spans="1:38" ht="19" x14ac:dyDescent="0.25">
      <c r="A67" s="6" t="s">
        <v>58</v>
      </c>
      <c r="B67" s="10" t="s">
        <v>91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91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91</v>
      </c>
      <c r="V70" s="1" t="s">
        <v>91</v>
      </c>
    </row>
    <row r="71" spans="1:38" ht="19" x14ac:dyDescent="0.25">
      <c r="A71" s="5" t="s">
        <v>62</v>
      </c>
      <c r="B71" s="1" t="s">
        <v>91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91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91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91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103</v>
      </c>
      <c r="B80" s="15" t="e">
        <f t="shared" ref="B80:U80" si="19">B79/B3</f>
        <v>#VALUE!</v>
      </c>
      <c r="C80" s="15" t="e">
        <f t="shared" si="19"/>
        <v>#VALUE!</v>
      </c>
      <c r="D80" s="15" t="e">
        <f t="shared" si="19"/>
        <v>#VALUE!</v>
      </c>
      <c r="E80" s="15" t="e">
        <f t="shared" si="19"/>
        <v>#VALUE!</v>
      </c>
      <c r="F80" s="15" t="e">
        <f t="shared" si="19"/>
        <v>#VALUE!</v>
      </c>
      <c r="G80" s="15" t="e">
        <f t="shared" si="19"/>
        <v>#VALUE!</v>
      </c>
      <c r="H80" s="15">
        <f t="shared" si="19"/>
        <v>3.5744381116050768E-3</v>
      </c>
      <c r="I80" s="15">
        <f t="shared" si="19"/>
        <v>4.865179170915895E-3</v>
      </c>
      <c r="J80" s="15">
        <f t="shared" si="19"/>
        <v>7.6675203699655909E-3</v>
      </c>
      <c r="K80" s="15">
        <f t="shared" si="19"/>
        <v>6.5337913274265535E-3</v>
      </c>
      <c r="L80" s="15">
        <f t="shared" si="19"/>
        <v>6.0240801060778577E-3</v>
      </c>
      <c r="M80" s="15">
        <f t="shared" si="19"/>
        <v>5.9923469607458778E-3</v>
      </c>
      <c r="N80" s="15">
        <f t="shared" si="19"/>
        <v>4.6039188996994792E-3</v>
      </c>
      <c r="O80" s="15">
        <f t="shared" si="19"/>
        <v>3.973888641416309E-3</v>
      </c>
      <c r="P80" s="15">
        <f t="shared" si="19"/>
        <v>3.9837379450215326E-3</v>
      </c>
      <c r="Q80" s="15">
        <f t="shared" si="19"/>
        <v>4.1463123667475231E-3</v>
      </c>
      <c r="R80" s="15">
        <f t="shared" si="19"/>
        <v>3.9656880735310868E-3</v>
      </c>
      <c r="S80" s="15">
        <f t="shared" si="19"/>
        <v>3.3853433085502863E-3</v>
      </c>
      <c r="T80" s="15">
        <f t="shared" si="19"/>
        <v>4.4836168286721302E-3</v>
      </c>
      <c r="U80" s="15">
        <f t="shared" si="19"/>
        <v>5.475565726775075E-3</v>
      </c>
      <c r="V80" s="15">
        <f t="shared" ref="V80" si="20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38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</row>
    <row r="83" spans="1:38" ht="19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</row>
    <row r="84" spans="1:38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W84" s="77"/>
      <c r="X84" s="77"/>
      <c r="Y84" s="77"/>
      <c r="Z84" s="77"/>
      <c r="AA84" s="77"/>
      <c r="AB84" s="77"/>
      <c r="AC84" s="106" t="s">
        <v>124</v>
      </c>
      <c r="AD84" s="107"/>
    </row>
    <row r="85" spans="1:38" ht="19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>
        <v>7157000</v>
      </c>
      <c r="F85" s="1">
        <v>9918000</v>
      </c>
      <c r="G85" s="1">
        <v>20868000</v>
      </c>
      <c r="H85" s="1" t="s">
        <v>91</v>
      </c>
      <c r="I85" s="1" t="s">
        <v>91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W85" s="77"/>
      <c r="X85" s="77"/>
      <c r="Y85" s="77"/>
      <c r="Z85" s="77"/>
      <c r="AA85" s="77"/>
      <c r="AB85" s="77"/>
      <c r="AC85" s="108" t="s">
        <v>125</v>
      </c>
      <c r="AD85" s="108"/>
    </row>
    <row r="86" spans="1:38" ht="20" x14ac:dyDescent="0.25">
      <c r="A86" s="5" t="s">
        <v>72</v>
      </c>
      <c r="B86" s="1" t="s">
        <v>91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W86" s="77"/>
      <c r="X86" s="77"/>
      <c r="Y86" s="77"/>
      <c r="Z86" s="77"/>
      <c r="AA86" s="77"/>
      <c r="AB86" s="77"/>
      <c r="AC86" s="71" t="s">
        <v>126</v>
      </c>
      <c r="AD86" s="88">
        <f>V17</f>
        <v>4943000</v>
      </c>
    </row>
    <row r="87" spans="1:38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W87" s="77"/>
      <c r="X87" s="77"/>
      <c r="Y87" s="77"/>
      <c r="Z87" s="77"/>
      <c r="AA87" s="77"/>
      <c r="AB87" s="77"/>
      <c r="AC87" s="71" t="s">
        <v>127</v>
      </c>
      <c r="AD87" s="88">
        <f>V56</f>
        <v>283293000</v>
      </c>
    </row>
    <row r="88" spans="1:38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W88" s="77"/>
      <c r="X88" s="77"/>
      <c r="Y88" s="77"/>
      <c r="Z88" s="77"/>
      <c r="AA88" s="77"/>
      <c r="AB88" s="77"/>
      <c r="AC88" s="71" t="s">
        <v>128</v>
      </c>
      <c r="AD88" s="88">
        <f>V61</f>
        <v>1619883000</v>
      </c>
    </row>
    <row r="89" spans="1:38" ht="20" customHeight="1" x14ac:dyDescent="0.25">
      <c r="A89" s="14" t="s">
        <v>104</v>
      </c>
      <c r="B89" s="15" t="e">
        <f t="shared" ref="B89:U89" si="21">(-1*B88)/B3</f>
        <v>#VALUE!</v>
      </c>
      <c r="C89" s="15" t="e">
        <f t="shared" si="21"/>
        <v>#VALUE!</v>
      </c>
      <c r="D89" s="15" t="e">
        <f t="shared" si="21"/>
        <v>#VALUE!</v>
      </c>
      <c r="E89" s="15">
        <f t="shared" si="21"/>
        <v>7.1850796528947034E-2</v>
      </c>
      <c r="F89" s="15">
        <f t="shared" si="21"/>
        <v>8.2545261437692113E-2</v>
      </c>
      <c r="G89" s="15">
        <f t="shared" si="21"/>
        <v>0.11167790944601767</v>
      </c>
      <c r="H89" s="15">
        <f t="shared" si="21"/>
        <v>0.1022112283639086</v>
      </c>
      <c r="I89" s="15">
        <f t="shared" si="21"/>
        <v>5.5697264655442433E-2</v>
      </c>
      <c r="J89" s="15">
        <f t="shared" si="21"/>
        <v>6.6753136775366054E-2</v>
      </c>
      <c r="K89" s="15">
        <f t="shared" si="21"/>
        <v>7.2424022507095398E-2</v>
      </c>
      <c r="L89" s="15">
        <f t="shared" si="21"/>
        <v>8.4935250709828061E-2</v>
      </c>
      <c r="M89" s="15">
        <f t="shared" si="21"/>
        <v>8.4635020274675135E-2</v>
      </c>
      <c r="N89" s="15">
        <f t="shared" si="21"/>
        <v>7.6840063565734112E-2</v>
      </c>
      <c r="O89" s="15">
        <f t="shared" si="21"/>
        <v>7.6238062279504484E-2</v>
      </c>
      <c r="P89" s="15">
        <f t="shared" si="21"/>
        <v>7.6986044764113901E-2</v>
      </c>
      <c r="Q89" s="15">
        <f t="shared" si="21"/>
        <v>7.4893967310085158E-2</v>
      </c>
      <c r="R89" s="15">
        <f t="shared" si="21"/>
        <v>4.7553715673743398E-2</v>
      </c>
      <c r="S89" s="15">
        <f t="shared" si="21"/>
        <v>0</v>
      </c>
      <c r="T89" s="15">
        <f t="shared" si="21"/>
        <v>0</v>
      </c>
      <c r="U89" s="15">
        <f t="shared" si="21"/>
        <v>1.9950088571409039E-2</v>
      </c>
      <c r="V89" s="15">
        <f t="shared" ref="V89" si="22">(-1*V88)/V3</f>
        <v>3.05766065830721E-2</v>
      </c>
      <c r="W89" s="77"/>
      <c r="X89" s="77"/>
      <c r="Y89" s="77"/>
      <c r="Z89" s="77"/>
      <c r="AA89" s="77"/>
      <c r="AB89" s="77"/>
      <c r="AC89" s="72" t="s">
        <v>129</v>
      </c>
      <c r="AD89" s="89">
        <f>AD86/(AD87+AD88)</f>
        <v>2.5972374599091204E-3</v>
      </c>
      <c r="AE89" s="15"/>
      <c r="AF89" s="15"/>
      <c r="AG89" s="15"/>
      <c r="AH89" s="15"/>
      <c r="AI89" s="15"/>
      <c r="AJ89" s="15"/>
      <c r="AK89" s="15"/>
      <c r="AL89" s="15"/>
    </row>
    <row r="90" spans="1:38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>
        <v>-15707000</v>
      </c>
      <c r="S90" s="1">
        <v>-62946000</v>
      </c>
      <c r="T90" s="1">
        <v>-6885000</v>
      </c>
      <c r="U90" s="1" t="s">
        <v>91</v>
      </c>
      <c r="V90" s="1" t="s">
        <v>91</v>
      </c>
      <c r="W90" s="77"/>
      <c r="X90" s="77"/>
      <c r="Y90" s="77"/>
      <c r="Z90" s="77"/>
      <c r="AA90" s="77"/>
      <c r="AB90" s="77"/>
      <c r="AC90" s="71" t="s">
        <v>105</v>
      </c>
      <c r="AD90" s="88">
        <f>V27</f>
        <v>401163000</v>
      </c>
    </row>
    <row r="91" spans="1:38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91</v>
      </c>
      <c r="U91" s="1">
        <v>-4297000</v>
      </c>
      <c r="V91" s="1">
        <v>-2458000</v>
      </c>
      <c r="W91" s="77"/>
      <c r="X91" s="77"/>
      <c r="Y91" s="77"/>
      <c r="Z91" s="77"/>
      <c r="AA91" s="77"/>
      <c r="AB91" s="77"/>
      <c r="AC91" s="71" t="s">
        <v>19</v>
      </c>
      <c r="AD91" s="88">
        <f>V25</f>
        <v>1640273000</v>
      </c>
    </row>
    <row r="92" spans="1:38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91</v>
      </c>
      <c r="T92" s="1">
        <v>110000000</v>
      </c>
      <c r="U92" s="1" t="s">
        <v>91</v>
      </c>
      <c r="V92" s="1" t="s">
        <v>91</v>
      </c>
      <c r="W92" s="77"/>
      <c r="X92" s="77"/>
      <c r="Y92" s="77"/>
      <c r="Z92" s="77"/>
      <c r="AA92" s="77"/>
      <c r="AB92" s="77"/>
      <c r="AC92" s="72" t="s">
        <v>130</v>
      </c>
      <c r="AD92" s="89">
        <f>AD90/AD91</f>
        <v>0.24457087326317023</v>
      </c>
    </row>
    <row r="93" spans="1:38" ht="19" customHeight="1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-2414000</v>
      </c>
      <c r="G93" s="1">
        <v>4467000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W93" s="77"/>
      <c r="X93" s="77"/>
      <c r="Y93" s="77"/>
      <c r="Z93" s="77"/>
      <c r="AA93" s="77"/>
      <c r="AB93" s="77"/>
      <c r="AC93" s="72" t="s">
        <v>131</v>
      </c>
      <c r="AD93" s="89">
        <f>AD89*(1-AD92)</f>
        <v>1.9620288262673291E-3</v>
      </c>
    </row>
    <row r="94" spans="1:38" ht="19" customHeight="1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W94" s="77"/>
      <c r="X94" s="77"/>
      <c r="Y94" s="77"/>
      <c r="Z94" s="77"/>
      <c r="AA94" s="77"/>
      <c r="AB94" s="77"/>
      <c r="AC94" s="108" t="s">
        <v>132</v>
      </c>
      <c r="AD94" s="108"/>
    </row>
    <row r="95" spans="1:38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>
        <v>-1186692000</v>
      </c>
      <c r="I95" s="1">
        <v>-1267720000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>
        <v>-800000000</v>
      </c>
      <c r="U95" s="1" t="s">
        <v>91</v>
      </c>
      <c r="V95" s="1" t="s">
        <v>91</v>
      </c>
      <c r="W95" s="77"/>
      <c r="X95" s="77"/>
      <c r="Y95" s="77"/>
      <c r="Z95" s="77"/>
      <c r="AA95" s="77"/>
      <c r="AB95" s="77"/>
      <c r="AC95" s="71" t="s">
        <v>133</v>
      </c>
      <c r="AD95" s="102">
        <f>'[1]US Treasury Bonds'!$C$8</f>
        <v>4.9020000000000001E-2</v>
      </c>
    </row>
    <row r="96" spans="1:38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77"/>
      <c r="X96" s="77"/>
      <c r="Y96" s="77"/>
      <c r="Z96" s="77"/>
      <c r="AA96" s="77"/>
      <c r="AB96" s="77"/>
      <c r="AC96" s="71" t="s">
        <v>134</v>
      </c>
      <c r="AD96" s="91" cm="1">
        <f t="array" ref="AD96">_FV(A1,"Beta")</f>
        <v>1.3624000000000001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-2217000</v>
      </c>
      <c r="G97" s="1">
        <v>-6742000</v>
      </c>
      <c r="H97" s="1">
        <v>-59000</v>
      </c>
      <c r="I97" s="1" t="s">
        <v>91</v>
      </c>
      <c r="J97" s="1" t="s">
        <v>91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W97" s="77"/>
      <c r="X97" s="77"/>
      <c r="Y97" s="77"/>
      <c r="Z97" s="77"/>
      <c r="AA97" s="77"/>
      <c r="AB97" s="77"/>
      <c r="AC97" s="71" t="s">
        <v>135</v>
      </c>
      <c r="AD97" s="90">
        <v>8.4000000000000005E-2</v>
      </c>
    </row>
    <row r="98" spans="1:39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>
        <v>-93012000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-62482000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>
        <v>0</v>
      </c>
      <c r="W98" s="77"/>
      <c r="X98" s="77"/>
      <c r="Y98" s="77"/>
      <c r="Z98" s="77"/>
      <c r="AA98" s="77"/>
      <c r="AB98" s="77"/>
      <c r="AC98" s="72" t="s">
        <v>136</v>
      </c>
      <c r="AD98" s="89">
        <f>(AD95)+((AD96)*(AD97-AD95))</f>
        <v>9.6676752000000005E-2</v>
      </c>
    </row>
    <row r="99" spans="1:39" ht="19" customHeight="1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W99" s="77"/>
      <c r="X99" s="77"/>
      <c r="Y99" s="77"/>
      <c r="Z99" s="77"/>
      <c r="AA99" s="77"/>
      <c r="AB99" s="77"/>
      <c r="AC99" s="108" t="s">
        <v>137</v>
      </c>
      <c r="AD99" s="108"/>
    </row>
    <row r="100" spans="1:39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W100" s="77"/>
      <c r="X100" s="77"/>
      <c r="Y100" s="77"/>
      <c r="Z100" s="77"/>
      <c r="AA100" s="77"/>
      <c r="AB100" s="77"/>
      <c r="AC100" s="71" t="s">
        <v>138</v>
      </c>
      <c r="AD100" s="88">
        <f>AD87+AD88</f>
        <v>1903176000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>
        <v>56000</v>
      </c>
      <c r="U101" s="1">
        <v>-56000</v>
      </c>
      <c r="V101" s="1">
        <v>-56000</v>
      </c>
      <c r="W101" s="77"/>
      <c r="X101" s="77"/>
      <c r="Y101" s="77"/>
      <c r="Z101" s="77"/>
      <c r="AA101" s="77"/>
      <c r="AB101" s="77"/>
      <c r="AC101" s="72" t="s">
        <v>139</v>
      </c>
      <c r="AD101" s="89">
        <f>AD100/AD104</f>
        <v>9.3944239833239893E-2</v>
      </c>
    </row>
    <row r="102" spans="1:39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W102" s="77"/>
      <c r="X102" s="77"/>
      <c r="Y102" s="77"/>
      <c r="Z102" s="77"/>
      <c r="AA102" s="77"/>
      <c r="AB102" s="77"/>
      <c r="AC102" s="71" t="s">
        <v>140</v>
      </c>
      <c r="AD102" s="92" cm="1">
        <f t="array" ref="AD102">_FV(A1,"Market cap",TRUE)</f>
        <v>18355394439</v>
      </c>
    </row>
    <row r="103" spans="1:39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W103" s="77"/>
      <c r="X103" s="77"/>
      <c r="Y103" s="77"/>
      <c r="Z103" s="77"/>
      <c r="AA103" s="77"/>
      <c r="AB103" s="77"/>
      <c r="AC103" s="72" t="s">
        <v>141</v>
      </c>
      <c r="AD103" s="89">
        <f>AD102/AD104</f>
        <v>0.90605576016676015</v>
      </c>
    </row>
    <row r="104" spans="1:39" ht="19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W104" s="110" t="s">
        <v>115</v>
      </c>
      <c r="X104" s="110"/>
      <c r="Y104" s="110"/>
      <c r="Z104" s="110"/>
      <c r="AA104" s="110"/>
      <c r="AB104" s="77"/>
      <c r="AC104" s="72" t="s">
        <v>142</v>
      </c>
      <c r="AD104" s="93">
        <f>AD100+AD102</f>
        <v>20258570439</v>
      </c>
    </row>
    <row r="105" spans="1:39" ht="21" customHeight="1" thickTop="1" x14ac:dyDescent="0.25">
      <c r="A105" s="14" t="s">
        <v>161</v>
      </c>
      <c r="C105" s="1" t="e">
        <f t="shared" ref="C105:V105" si="23">(C22*(1-$AD$92))+C77+C88+C81</f>
        <v>#VALUE!</v>
      </c>
      <c r="D105" s="1" t="e">
        <f t="shared" si="23"/>
        <v>#VALUE!</v>
      </c>
      <c r="E105" s="1">
        <f t="shared" si="23"/>
        <v>3804746.6251044795</v>
      </c>
      <c r="F105" s="1">
        <f t="shared" si="23"/>
        <v>4978642.8326260298</v>
      </c>
      <c r="G105" s="1">
        <f t="shared" si="23"/>
        <v>-42619595.769728571</v>
      </c>
      <c r="H105" s="1">
        <f t="shared" si="23"/>
        <v>-50903876.002958044</v>
      </c>
      <c r="I105" s="1">
        <f t="shared" si="23"/>
        <v>108285761.27449515</v>
      </c>
      <c r="J105" s="1">
        <f t="shared" si="23"/>
        <v>90469436.302981257</v>
      </c>
      <c r="K105" s="1">
        <f t="shared" si="23"/>
        <v>122341417.52013233</v>
      </c>
      <c r="L105" s="1">
        <f t="shared" si="23"/>
        <v>113600536.04552412</v>
      </c>
      <c r="M105" s="1">
        <f t="shared" si="23"/>
        <v>135926516.76946461</v>
      </c>
      <c r="N105" s="1">
        <f t="shared" si="23"/>
        <v>175021445.04969603</v>
      </c>
      <c r="O105" s="1">
        <f t="shared" si="23"/>
        <v>123574500.57947671</v>
      </c>
      <c r="P105" s="1">
        <f t="shared" si="23"/>
        <v>299453122.48631787</v>
      </c>
      <c r="Q105" s="1">
        <f t="shared" si="23"/>
        <v>371827694.36429179</v>
      </c>
      <c r="R105" s="1">
        <f t="shared" si="23"/>
        <v>559763908.56339157</v>
      </c>
      <c r="S105" s="1">
        <f t="shared" si="23"/>
        <v>760842653.52779698</v>
      </c>
      <c r="T105" s="1">
        <f t="shared" si="23"/>
        <v>462414725.79381603</v>
      </c>
      <c r="U105" s="1">
        <f t="shared" si="23"/>
        <v>578224248.50802279</v>
      </c>
      <c r="V105" s="1">
        <f t="shared" si="23"/>
        <v>1167099721.3622367</v>
      </c>
      <c r="W105" s="103">
        <f>W107/W3</f>
        <v>8.805956759666278E-2</v>
      </c>
      <c r="X105" s="103">
        <f>X107/X3</f>
        <v>9.1802718181041118E-2</v>
      </c>
      <c r="Y105" s="103">
        <f>Y107/Y3</f>
        <v>9.2281608267398674E-2</v>
      </c>
      <c r="Z105" s="103">
        <f>Z107/Z3</f>
        <v>9.8511858626569526E-2</v>
      </c>
      <c r="AA105" s="103">
        <f>AA107/AA3</f>
        <v>9.8629735472997734E-2</v>
      </c>
      <c r="AB105" s="104" t="s">
        <v>167</v>
      </c>
      <c r="AC105" s="108" t="s">
        <v>143</v>
      </c>
      <c r="AD105" s="108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20" x14ac:dyDescent="0.25">
      <c r="A106" s="14" t="s">
        <v>106</v>
      </c>
      <c r="B106" s="1"/>
      <c r="C106" s="15" t="e">
        <f t="shared" ref="C106:V106" si="24">(C107/B107)-1</f>
        <v>#VALUE!</v>
      </c>
      <c r="D106" s="15" t="e">
        <f t="shared" si="24"/>
        <v>#VALUE!</v>
      </c>
      <c r="E106" s="15" t="e">
        <f t="shared" si="24"/>
        <v>#VALUE!</v>
      </c>
      <c r="F106" s="15">
        <f t="shared" si="24"/>
        <v>0.67274088866699944</v>
      </c>
      <c r="G106" s="15">
        <f t="shared" si="24"/>
        <v>7.2017609312042978</v>
      </c>
      <c r="H106" s="15">
        <f t="shared" si="24"/>
        <v>-0.35116448326055316</v>
      </c>
      <c r="I106" s="15">
        <f t="shared" si="24"/>
        <v>-3.9366797532249018</v>
      </c>
      <c r="J106" s="15">
        <f t="shared" si="24"/>
        <v>-0.24153473004717252</v>
      </c>
      <c r="K106" s="15">
        <f t="shared" si="24"/>
        <v>0.16144180893387716</v>
      </c>
      <c r="L106" s="15">
        <f t="shared" si="24"/>
        <v>-0.45341513913128317</v>
      </c>
      <c r="M106" s="15">
        <f t="shared" si="24"/>
        <v>1.0169565476072426</v>
      </c>
      <c r="N106" s="15">
        <f t="shared" si="24"/>
        <v>0.45057570722018458</v>
      </c>
      <c r="O106" s="15">
        <f t="shared" si="24"/>
        <v>-0.48004067107269954</v>
      </c>
      <c r="P106" s="15">
        <f t="shared" si="24"/>
        <v>2.40174951438591</v>
      </c>
      <c r="Q106" s="15">
        <f t="shared" si="24"/>
        <v>0.2978255371007672</v>
      </c>
      <c r="R106" s="15">
        <f t="shared" si="24"/>
        <v>0.88018083460307328</v>
      </c>
      <c r="S106" s="15">
        <f t="shared" si="24"/>
        <v>0.26075853544768801</v>
      </c>
      <c r="T106" s="15">
        <f t="shared" si="24"/>
        <v>-0.17971769858699804</v>
      </c>
      <c r="U106" s="15">
        <f t="shared" si="24"/>
        <v>0.34714171383272907</v>
      </c>
      <c r="V106" s="15">
        <f t="shared" si="24"/>
        <v>0.31893700441223882</v>
      </c>
      <c r="W106" s="79">
        <f>(W107/V107)-1</f>
        <v>-0.16102564102564099</v>
      </c>
      <c r="X106" s="79">
        <f>(X107/W107)-1</f>
        <v>9.4132029339853318E-2</v>
      </c>
      <c r="Y106" s="79">
        <f>(Y107/X107)-1</f>
        <v>6.4245810055865826E-2</v>
      </c>
      <c r="Z106" s="79">
        <f>(Z107/Y107)-1</f>
        <v>0.11198600174978135</v>
      </c>
      <c r="AA106" s="79">
        <f>(AA107/Z107)-1</f>
        <v>5.9008654602675126E-2</v>
      </c>
      <c r="AB106" s="80">
        <f>SUM(W106:AA106)/5</f>
        <v>3.3669370944506928E-2</v>
      </c>
      <c r="AC106" s="73" t="s">
        <v>107</v>
      </c>
      <c r="AD106" s="94">
        <f>(AD101*AD93)+(AD103*AD98)</f>
        <v>8.7778849330427941E-2</v>
      </c>
    </row>
    <row r="107" spans="1:39" ht="19" customHeight="1" x14ac:dyDescent="0.25">
      <c r="A107" s="68" t="s">
        <v>162</v>
      </c>
      <c r="B107" s="1" t="s">
        <v>91</v>
      </c>
      <c r="C107" s="1" t="s">
        <v>91</v>
      </c>
      <c r="D107" s="1" t="s">
        <v>91</v>
      </c>
      <c r="E107" s="1">
        <v>-4006000</v>
      </c>
      <c r="F107" s="1">
        <v>-6701000</v>
      </c>
      <c r="G107" s="1">
        <v>-54960000</v>
      </c>
      <c r="H107" s="1">
        <v>-35660000</v>
      </c>
      <c r="I107" s="1">
        <v>104722000</v>
      </c>
      <c r="J107" s="1">
        <v>79428000</v>
      </c>
      <c r="K107" s="1">
        <v>92251000</v>
      </c>
      <c r="L107" s="1">
        <v>50423000</v>
      </c>
      <c r="M107" s="1">
        <v>101701000</v>
      </c>
      <c r="N107" s="1">
        <v>147525000</v>
      </c>
      <c r="O107" s="1">
        <v>76707000</v>
      </c>
      <c r="P107" s="1">
        <v>260938000</v>
      </c>
      <c r="Q107" s="1">
        <v>338652000</v>
      </c>
      <c r="R107" s="1">
        <v>636727000</v>
      </c>
      <c r="S107" s="1">
        <v>802759000</v>
      </c>
      <c r="T107" s="1">
        <v>658489000</v>
      </c>
      <c r="U107" s="1">
        <v>887078000</v>
      </c>
      <c r="V107" s="1">
        <v>1170000000</v>
      </c>
      <c r="W107" s="81">
        <v>981600000</v>
      </c>
      <c r="X107" s="81">
        <v>1074000000</v>
      </c>
      <c r="Y107" s="81">
        <v>1143000000</v>
      </c>
      <c r="Z107" s="81">
        <v>1271000000</v>
      </c>
      <c r="AA107" s="81">
        <v>1346000000</v>
      </c>
      <c r="AB107" s="78" t="s">
        <v>164</v>
      </c>
      <c r="AC107" s="85" t="s">
        <v>170</v>
      </c>
      <c r="AD107" s="74">
        <f>(SUM(W4:AA4)/5)</f>
        <v>5.9926523870554818E-2</v>
      </c>
    </row>
    <row r="108" spans="1:39" ht="19" x14ac:dyDescent="0.2">
      <c r="W108" s="105"/>
      <c r="X108" s="105"/>
      <c r="Y108" s="105"/>
      <c r="Z108" s="105"/>
      <c r="AA108" s="82">
        <f>AA107*(1+AD108)/(AD109-AD108)</f>
        <v>21976350549.822914</v>
      </c>
      <c r="AB108" s="83" t="s">
        <v>145</v>
      </c>
      <c r="AC108" s="86" t="s">
        <v>146</v>
      </c>
      <c r="AD108" s="75">
        <v>2.5000000000000001E-2</v>
      </c>
    </row>
    <row r="109" spans="1:39" ht="19" x14ac:dyDescent="0.2">
      <c r="W109" s="82">
        <f t="shared" ref="W109:Y109" si="25">W108+W107</f>
        <v>981600000</v>
      </c>
      <c r="X109" s="82">
        <f t="shared" si="25"/>
        <v>1074000000</v>
      </c>
      <c r="Y109" s="82">
        <f t="shared" si="25"/>
        <v>1143000000</v>
      </c>
      <c r="Z109" s="82">
        <f>Z108+Z107</f>
        <v>1271000000</v>
      </c>
      <c r="AA109" s="82">
        <f>AA108+AA107</f>
        <v>23322350549.822914</v>
      </c>
      <c r="AB109" s="83" t="s">
        <v>142</v>
      </c>
      <c r="AC109" s="87" t="s">
        <v>147</v>
      </c>
      <c r="AD109" s="74">
        <f>AD106</f>
        <v>8.7778849330427941E-2</v>
      </c>
    </row>
    <row r="110" spans="1:39" ht="19" x14ac:dyDescent="0.2">
      <c r="W110" s="109" t="s">
        <v>148</v>
      </c>
      <c r="X110" s="109"/>
      <c r="Y110" s="77"/>
      <c r="Z110" s="77"/>
      <c r="AA110" s="77"/>
      <c r="AB110" s="77"/>
      <c r="AC110" s="77"/>
      <c r="AD110" s="77"/>
    </row>
    <row r="111" spans="1:39" ht="20" x14ac:dyDescent="0.2">
      <c r="W111" s="95" t="s">
        <v>149</v>
      </c>
      <c r="X111" s="92">
        <f>NPV(AD109,W109,X109,Y109,Z109,AA109)</f>
        <v>18919174448.275394</v>
      </c>
      <c r="Y111" s="77"/>
      <c r="Z111" s="77"/>
      <c r="AA111" s="77"/>
      <c r="AB111" s="77"/>
      <c r="AC111" s="77"/>
      <c r="AD111" s="77"/>
    </row>
    <row r="112" spans="1:39" ht="20" x14ac:dyDescent="0.2">
      <c r="W112" s="95" t="s">
        <v>150</v>
      </c>
      <c r="X112" s="92">
        <f>V40</f>
        <v>737877000</v>
      </c>
      <c r="Y112" s="77"/>
      <c r="Z112" s="77"/>
      <c r="AA112" s="77"/>
      <c r="AB112" s="77"/>
      <c r="AC112" s="77"/>
      <c r="AD112" s="77"/>
    </row>
    <row r="113" spans="23:30" ht="20" x14ac:dyDescent="0.2">
      <c r="W113" s="95" t="s">
        <v>138</v>
      </c>
      <c r="X113" s="92">
        <f>AD100</f>
        <v>1903176000</v>
      </c>
      <c r="Y113" s="77"/>
      <c r="Z113" s="77"/>
      <c r="AA113" s="77"/>
      <c r="AB113" s="77"/>
      <c r="AC113" s="77"/>
      <c r="AD113" s="77"/>
    </row>
    <row r="114" spans="23:30" ht="20" x14ac:dyDescent="0.2">
      <c r="W114" s="95" t="s">
        <v>151</v>
      </c>
      <c r="X114" s="92">
        <f>X111+X112-X113</f>
        <v>17753875448.275394</v>
      </c>
      <c r="Y114" s="77"/>
      <c r="Z114" s="77"/>
      <c r="AA114" s="77"/>
      <c r="AB114" s="77"/>
      <c r="AC114" s="77"/>
      <c r="AD114" s="77"/>
    </row>
    <row r="115" spans="23:30" ht="20" x14ac:dyDescent="0.2">
      <c r="W115" s="95" t="s">
        <v>152</v>
      </c>
      <c r="X115" s="95">
        <f>V34*(1+(5*AB16))</f>
        <v>43003211.19368273</v>
      </c>
      <c r="Y115" s="77"/>
      <c r="Z115" s="77"/>
      <c r="AA115" s="77"/>
      <c r="AB115" s="77"/>
      <c r="AC115" s="77"/>
      <c r="AD115" s="77"/>
    </row>
    <row r="116" spans="23:30" ht="20" x14ac:dyDescent="0.2">
      <c r="W116" s="96" t="s">
        <v>153</v>
      </c>
      <c r="X116" s="97">
        <f>X114/X115</f>
        <v>412.84999318570607</v>
      </c>
      <c r="Y116" s="77"/>
      <c r="Z116" s="77"/>
      <c r="AA116" s="77"/>
      <c r="AB116" s="77"/>
      <c r="AC116" s="77"/>
      <c r="AD116" s="77"/>
    </row>
    <row r="117" spans="23:30" ht="20" x14ac:dyDescent="0.2">
      <c r="W117" s="95" t="s">
        <v>154</v>
      </c>
      <c r="X117" s="98" cm="1">
        <f t="array" ref="X117">_FV(A1,"Price")</f>
        <v>372.86</v>
      </c>
      <c r="Y117" s="77"/>
      <c r="Z117" s="77"/>
      <c r="AA117" s="77"/>
      <c r="AB117" s="77"/>
      <c r="AC117" s="77"/>
      <c r="AD117" s="77"/>
    </row>
    <row r="118" spans="23:30" ht="20" x14ac:dyDescent="0.2">
      <c r="W118" s="96" t="s">
        <v>155</v>
      </c>
      <c r="X118" s="99">
        <f>X116/X117-1</f>
        <v>0.10725203343267187</v>
      </c>
      <c r="Y118" s="77"/>
      <c r="Z118" s="77"/>
      <c r="AA118" s="77"/>
      <c r="AB118" s="77"/>
      <c r="AC118" s="77"/>
      <c r="AD118" s="77"/>
    </row>
    <row r="119" spans="23:30" ht="20" x14ac:dyDescent="0.2">
      <c r="W119" s="96" t="s">
        <v>156</v>
      </c>
      <c r="X119" s="100" t="str">
        <f>IF(X116&gt;X117,"BUY","SELL")</f>
        <v>BUY</v>
      </c>
      <c r="Y119" s="77"/>
      <c r="Z119" s="77"/>
      <c r="AA119" s="77"/>
      <c r="AB119" s="77"/>
      <c r="AC119" s="77"/>
      <c r="AD119" s="77"/>
    </row>
  </sheetData>
  <mergeCells count="7">
    <mergeCell ref="AC84:AD84"/>
    <mergeCell ref="AC85:AD85"/>
    <mergeCell ref="W110:X110"/>
    <mergeCell ref="W104:AA104"/>
    <mergeCell ref="AC105:AD105"/>
    <mergeCell ref="AC99:AD99"/>
    <mergeCell ref="AC94:AD9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  <hyperlink ref="AB107" r:id="rId45" xr:uid="{30A2E8B7-8BBC-7B43-A21D-ACCEFD71BD1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ED4-41DC-CD48-950F-0A9D1C5D5F18}">
  <dimension ref="A1:K118"/>
  <sheetViews>
    <sheetView topLeftCell="A106" workbookViewId="0">
      <selection activeCell="O130" sqref="O130"/>
    </sheetView>
  </sheetViews>
  <sheetFormatPr baseColWidth="10" defaultRowHeight="16" x14ac:dyDescent="0.2"/>
  <cols>
    <col min="1" max="1" width="46.5" customWidth="1"/>
  </cols>
  <sheetData>
    <row r="1" spans="1:11" ht="22" thickBot="1" x14ac:dyDescent="0.3">
      <c r="A1" s="3" t="e" vm="1">
        <v>#VALUE!</v>
      </c>
      <c r="B1" s="8">
        <v>2023</v>
      </c>
      <c r="C1" s="25">
        <v>2024</v>
      </c>
      <c r="D1" s="25">
        <v>2025</v>
      </c>
      <c r="E1" s="25">
        <v>2026</v>
      </c>
      <c r="F1" s="25">
        <v>2027</v>
      </c>
      <c r="G1" s="25">
        <v>2027</v>
      </c>
    </row>
    <row r="2" spans="1:11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/>
      <c r="F2" s="9"/>
      <c r="G2" s="9"/>
      <c r="H2" s="9"/>
      <c r="I2" s="9"/>
      <c r="J2" s="9"/>
      <c r="K2" s="9"/>
    </row>
    <row r="3" spans="1:11" ht="60" x14ac:dyDescent="0.25">
      <c r="A3" s="5" t="s">
        <v>1</v>
      </c>
      <c r="B3" s="1">
        <v>10208000000</v>
      </c>
      <c r="C3" s="26">
        <v>11092000000</v>
      </c>
      <c r="D3" s="26">
        <v>11653000000</v>
      </c>
      <c r="E3" s="26">
        <v>12390000000</v>
      </c>
      <c r="F3" s="26">
        <v>12944000000</v>
      </c>
      <c r="G3" s="26">
        <v>13613000000</v>
      </c>
      <c r="H3" s="18" t="s">
        <v>108</v>
      </c>
      <c r="I3" s="19" t="s">
        <v>109</v>
      </c>
      <c r="J3" s="19" t="s">
        <v>110</v>
      </c>
      <c r="K3" s="19" t="s">
        <v>111</v>
      </c>
    </row>
    <row r="4" spans="1:11" ht="19" x14ac:dyDescent="0.25">
      <c r="A4" s="14" t="s">
        <v>93</v>
      </c>
      <c r="B4" s="16" t="e">
        <f t="shared" ref="B4:G4" si="0">(B3/A3)-1</f>
        <v>#VALUE!</v>
      </c>
      <c r="C4" s="16">
        <f t="shared" si="0"/>
        <v>8.6598746081504752E-2</v>
      </c>
      <c r="D4" s="16">
        <f t="shared" si="0"/>
        <v>5.0576992426974332E-2</v>
      </c>
      <c r="E4" s="16">
        <f t="shared" si="0"/>
        <v>6.3245516176092087E-2</v>
      </c>
      <c r="F4" s="16">
        <f t="shared" si="0"/>
        <v>4.4713478611783763E-2</v>
      </c>
      <c r="G4" s="16">
        <f t="shared" si="0"/>
        <v>5.1684177997527891E-2</v>
      </c>
      <c r="H4" s="17" t="e">
        <f>(B4+A4+#REF!)/3</f>
        <v>#VALUE!</v>
      </c>
      <c r="I4" s="17" t="e">
        <f>(B20+A20+#REF!)/3</f>
        <v>#VALUE!</v>
      </c>
      <c r="J4" s="17" t="e">
        <f>(B29+A29+#REF!)/3</f>
        <v>#VALUE!</v>
      </c>
      <c r="K4" s="17" t="e">
        <f>(B106+A106+#REF!)/3</f>
        <v>#VALUE!</v>
      </c>
    </row>
    <row r="5" spans="1:11" ht="19" x14ac:dyDescent="0.25">
      <c r="A5" s="5" t="s">
        <v>2</v>
      </c>
      <c r="B5" s="1">
        <v>6164070000</v>
      </c>
    </row>
    <row r="6" spans="1:11" ht="60" x14ac:dyDescent="0.25">
      <c r="A6" s="6" t="s">
        <v>3</v>
      </c>
      <c r="B6" s="10">
        <v>4044510000</v>
      </c>
      <c r="H6" s="18" t="s">
        <v>112</v>
      </c>
      <c r="I6" s="19" t="s">
        <v>113</v>
      </c>
      <c r="J6" s="19" t="s">
        <v>114</v>
      </c>
      <c r="K6" s="19" t="s">
        <v>115</v>
      </c>
    </row>
    <row r="7" spans="1:11" ht="19" x14ac:dyDescent="0.25">
      <c r="A7" s="5" t="s">
        <v>4</v>
      </c>
      <c r="B7" s="2">
        <f>B6/B3</f>
        <v>0.39620983542319749</v>
      </c>
      <c r="H7" s="17">
        <f>B7</f>
        <v>0.39620983542319749</v>
      </c>
      <c r="I7" s="20">
        <f>B21</f>
        <v>0.17153800940438871</v>
      </c>
      <c r="J7" s="20">
        <f>B30</f>
        <v>0.12170924764890283</v>
      </c>
      <c r="K7" s="20">
        <f>B107/B3</f>
        <v>0.11461598746081504</v>
      </c>
    </row>
    <row r="8" spans="1:11" ht="19" x14ac:dyDescent="0.25">
      <c r="A8" s="5" t="s">
        <v>5</v>
      </c>
      <c r="B8" s="1">
        <v>0</v>
      </c>
    </row>
    <row r="9" spans="1:11" ht="40" x14ac:dyDescent="0.25">
      <c r="A9" s="14" t="s">
        <v>94</v>
      </c>
      <c r="B9" s="15">
        <f t="shared" ref="B9" si="1">B8/B3</f>
        <v>0</v>
      </c>
      <c r="C9" s="15"/>
      <c r="D9" s="15"/>
      <c r="E9" s="15"/>
      <c r="F9" s="15"/>
      <c r="H9" s="18" t="s">
        <v>95</v>
      </c>
      <c r="I9" s="19" t="s">
        <v>96</v>
      </c>
      <c r="J9" s="19" t="s">
        <v>97</v>
      </c>
      <c r="K9" s="19" t="s">
        <v>98</v>
      </c>
    </row>
    <row r="10" spans="1:11" ht="19" x14ac:dyDescent="0.25">
      <c r="A10" s="5" t="s">
        <v>6</v>
      </c>
      <c r="B10" s="1" t="s">
        <v>91</v>
      </c>
      <c r="H10" s="17">
        <f>B9</f>
        <v>0</v>
      </c>
      <c r="I10" s="20">
        <f>B13</f>
        <v>0.23464919670846396</v>
      </c>
      <c r="J10" s="20">
        <f>B80</f>
        <v>4.2166927899686523E-3</v>
      </c>
      <c r="K10" s="20">
        <f>B89</f>
        <v>3.05766065830721E-2</v>
      </c>
    </row>
    <row r="11" spans="1:11" ht="19" x14ac:dyDescent="0.25">
      <c r="A11" s="5" t="s">
        <v>7</v>
      </c>
      <c r="B11" s="1" t="s">
        <v>91</v>
      </c>
    </row>
    <row r="12" spans="1:11" ht="40" x14ac:dyDescent="0.25">
      <c r="A12" s="5" t="s">
        <v>8</v>
      </c>
      <c r="B12" s="1">
        <v>2395299000</v>
      </c>
      <c r="H12" s="18" t="s">
        <v>116</v>
      </c>
      <c r="I12" s="19" t="s">
        <v>117</v>
      </c>
      <c r="J12" s="19" t="s">
        <v>118</v>
      </c>
      <c r="K12" s="19" t="s">
        <v>119</v>
      </c>
    </row>
    <row r="13" spans="1:11" ht="19" x14ac:dyDescent="0.25">
      <c r="A13" s="14" t="s">
        <v>99</v>
      </c>
      <c r="B13" s="15">
        <f t="shared" ref="B13" si="2">B12/B3</f>
        <v>0.23464919670846396</v>
      </c>
      <c r="C13" s="15"/>
      <c r="D13" s="15"/>
      <c r="E13" s="15"/>
      <c r="F13" s="15"/>
      <c r="H13" s="17">
        <f>B28/B72</f>
        <v>0.63394276284805018</v>
      </c>
      <c r="I13" s="20">
        <f>B28/B54</f>
        <v>0.23134318770015927</v>
      </c>
      <c r="J13" s="20">
        <f>B22/(B72+B56+B61)</f>
        <v>0.42418211606717809</v>
      </c>
      <c r="K13" s="21">
        <f>B67/B72</f>
        <v>1.7402698525521083</v>
      </c>
    </row>
    <row r="14" spans="1:11" ht="19" x14ac:dyDescent="0.25">
      <c r="A14" s="5" t="s">
        <v>9</v>
      </c>
      <c r="B14" s="1">
        <v>10601000</v>
      </c>
    </row>
    <row r="15" spans="1:11" ht="60" x14ac:dyDescent="0.25">
      <c r="A15" s="5" t="s">
        <v>10</v>
      </c>
      <c r="B15" s="1">
        <f>B12+B14</f>
        <v>2405900000</v>
      </c>
      <c r="H15" s="18" t="s">
        <v>120</v>
      </c>
      <c r="I15" s="19" t="s">
        <v>121</v>
      </c>
      <c r="J15" s="19" t="s">
        <v>122</v>
      </c>
      <c r="K15" s="19" t="s">
        <v>123</v>
      </c>
    </row>
    <row r="16" spans="1:11" ht="19" x14ac:dyDescent="0.25">
      <c r="A16" s="5" t="s">
        <v>11</v>
      </c>
      <c r="B16" s="1">
        <f>B15+B5</f>
        <v>8569970000</v>
      </c>
      <c r="H16" s="27" t="e">
        <f>(B35+A35+#REF!+#REF!+#REF!)/5</f>
        <v>#VALUE!</v>
      </c>
      <c r="I16" s="64" t="e" vm="2">
        <f>J101/B3</f>
        <v>#VALUE!</v>
      </c>
      <c r="J16" s="64" t="e" vm="2">
        <f>J101/B28</f>
        <v>#VALUE!</v>
      </c>
      <c r="K16" s="65" t="e" vm="2">
        <f>J101/B107</f>
        <v>#VALUE!</v>
      </c>
    </row>
    <row r="17" spans="1:11" ht="19" x14ac:dyDescent="0.25">
      <c r="A17" s="5" t="s">
        <v>12</v>
      </c>
      <c r="B17" s="1">
        <v>4943000</v>
      </c>
    </row>
    <row r="18" spans="1:11" ht="40" x14ac:dyDescent="0.25">
      <c r="A18" s="5" t="s">
        <v>13</v>
      </c>
      <c r="B18" s="1">
        <v>112450000</v>
      </c>
      <c r="H18" s="18" t="s">
        <v>157</v>
      </c>
      <c r="I18" s="19" t="s">
        <v>158</v>
      </c>
      <c r="J18" s="19" t="s">
        <v>159</v>
      </c>
      <c r="K18" s="19" t="s">
        <v>160</v>
      </c>
    </row>
    <row r="19" spans="1:11" ht="19" x14ac:dyDescent="0.25">
      <c r="A19" s="6" t="s">
        <v>14</v>
      </c>
      <c r="B19" s="10">
        <v>1751060000</v>
      </c>
      <c r="C19" s="59">
        <v>1927000000</v>
      </c>
      <c r="D19" s="59">
        <v>1997000000</v>
      </c>
      <c r="E19" s="59">
        <v>2158000000</v>
      </c>
      <c r="F19" s="59">
        <v>2301000000</v>
      </c>
      <c r="G19" s="59">
        <v>2440000000</v>
      </c>
      <c r="H19" s="46">
        <f>B40-B56-B61</f>
        <v>-1165299000</v>
      </c>
      <c r="I19" s="64" t="e" vm="2">
        <f>J101/C3</f>
        <v>#VALUE!</v>
      </c>
      <c r="J19" s="66" t="e" vm="2">
        <f>J101/C28</f>
        <v>#VALUE!</v>
      </c>
      <c r="K19" s="65" t="e" vm="2">
        <f>J101/C106</f>
        <v>#VALUE!</v>
      </c>
    </row>
    <row r="20" spans="1:11" ht="19" x14ac:dyDescent="0.25">
      <c r="A20" s="14" t="s">
        <v>100</v>
      </c>
      <c r="B20" s="15" t="e">
        <f t="shared" ref="B20:G20" si="3">(B19/A19)-1</f>
        <v>#VALUE!</v>
      </c>
      <c r="C20" s="16">
        <f t="shared" si="3"/>
        <v>0.10047628293719235</v>
      </c>
      <c r="D20" s="16">
        <f t="shared" si="3"/>
        <v>3.6325895173845435E-2</v>
      </c>
      <c r="E20" s="16">
        <f t="shared" si="3"/>
        <v>8.0620931397095585E-2</v>
      </c>
      <c r="F20" s="16">
        <f t="shared" si="3"/>
        <v>6.6265060240963791E-2</v>
      </c>
      <c r="G20" s="16">
        <f t="shared" si="3"/>
        <v>6.0408518035636627E-2</v>
      </c>
      <c r="H20" s="15"/>
      <c r="I20" s="15"/>
      <c r="J20" s="15"/>
      <c r="K20" s="15"/>
    </row>
    <row r="21" spans="1:11" ht="40" x14ac:dyDescent="0.25">
      <c r="A21" s="5" t="s">
        <v>15</v>
      </c>
      <c r="B21" s="58">
        <f>B19/B3</f>
        <v>0.17153800940438871</v>
      </c>
      <c r="C21" s="60">
        <f>C19/C3</f>
        <v>0.17372881355932204</v>
      </c>
      <c r="D21" s="60">
        <f t="shared" ref="D21:G21" si="4">D19/D3</f>
        <v>0.17137217883806746</v>
      </c>
      <c r="E21" s="60">
        <f t="shared" si="4"/>
        <v>0.17417271993543179</v>
      </c>
      <c r="F21" s="60">
        <f t="shared" si="4"/>
        <v>0.17776576019777504</v>
      </c>
      <c r="G21" s="60">
        <f t="shared" si="4"/>
        <v>0.17924043194005729</v>
      </c>
      <c r="J21" s="18" t="s">
        <v>165</v>
      </c>
      <c r="K21" s="19" t="s">
        <v>166</v>
      </c>
    </row>
    <row r="22" spans="1:11" ht="19" x14ac:dyDescent="0.25">
      <c r="A22" s="6" t="s">
        <v>16</v>
      </c>
      <c r="B22" s="57">
        <v>1638610000</v>
      </c>
      <c r="J22" s="69" t="e" vm="2">
        <f>(-1*B98)/J101</f>
        <v>#VALUE!</v>
      </c>
      <c r="K22" s="70" t="e" vm="2">
        <f>B107/J101</f>
        <v>#VALUE!</v>
      </c>
    </row>
    <row r="23" spans="1:11" ht="19" x14ac:dyDescent="0.25">
      <c r="A23" s="5" t="s">
        <v>17</v>
      </c>
      <c r="B23" s="2">
        <f>B22/B3</f>
        <v>0.16052213949843261</v>
      </c>
    </row>
    <row r="24" spans="1:11" ht="19" x14ac:dyDescent="0.25">
      <c r="A24" s="5" t="s">
        <v>18</v>
      </c>
      <c r="B24" s="1">
        <v>1663000</v>
      </c>
    </row>
    <row r="25" spans="1:11" ht="19" x14ac:dyDescent="0.25">
      <c r="A25" s="6" t="s">
        <v>19</v>
      </c>
      <c r="B25" s="10">
        <v>1640273000</v>
      </c>
    </row>
    <row r="26" spans="1:11" ht="19" x14ac:dyDescent="0.25">
      <c r="A26" s="5" t="s">
        <v>20</v>
      </c>
      <c r="B26" s="2">
        <f>B25/B3</f>
        <v>0.16068505094043886</v>
      </c>
    </row>
    <row r="27" spans="1:11" ht="19" x14ac:dyDescent="0.25">
      <c r="A27" s="5" t="s">
        <v>21</v>
      </c>
      <c r="B27" s="1">
        <v>401163000</v>
      </c>
    </row>
    <row r="28" spans="1:11" ht="20" thickBot="1" x14ac:dyDescent="0.3">
      <c r="A28" s="7" t="s">
        <v>22</v>
      </c>
      <c r="B28" s="11">
        <v>1242408000</v>
      </c>
      <c r="C28" s="61">
        <v>1266000000</v>
      </c>
      <c r="D28" s="61">
        <v>1318000000</v>
      </c>
      <c r="E28" s="61">
        <v>1411000000</v>
      </c>
      <c r="F28" s="61">
        <v>1456000000</v>
      </c>
      <c r="G28" s="61">
        <v>1540000000</v>
      </c>
    </row>
    <row r="29" spans="1:11" ht="20" thickTop="1" x14ac:dyDescent="0.25">
      <c r="A29" s="14" t="s">
        <v>101</v>
      </c>
      <c r="B29" s="15" t="e">
        <f t="shared" ref="B29:G29" si="5">(B28/A28)-1</f>
        <v>#VALUE!</v>
      </c>
      <c r="C29" s="16">
        <f t="shared" si="5"/>
        <v>1.8988931172368551E-2</v>
      </c>
      <c r="D29" s="16">
        <f t="shared" si="5"/>
        <v>4.1074249605055346E-2</v>
      </c>
      <c r="E29" s="16">
        <f t="shared" si="5"/>
        <v>7.0561456752655571E-2</v>
      </c>
      <c r="F29" s="16">
        <f t="shared" si="5"/>
        <v>3.1892274982282087E-2</v>
      </c>
      <c r="G29" s="16">
        <f t="shared" si="5"/>
        <v>5.7692307692307709E-2</v>
      </c>
      <c r="H29" s="15"/>
      <c r="I29" s="15"/>
      <c r="J29" s="15"/>
      <c r="K29" s="15"/>
    </row>
    <row r="30" spans="1:11" ht="19" x14ac:dyDescent="0.25">
      <c r="A30" s="5" t="s">
        <v>23</v>
      </c>
      <c r="B30" s="2">
        <f>B28/B3</f>
        <v>0.12170924764890283</v>
      </c>
      <c r="C30" s="62">
        <f t="shared" ref="C30:G30" si="6">C28/C3</f>
        <v>0.1141363144608727</v>
      </c>
      <c r="D30" s="62">
        <f t="shared" si="6"/>
        <v>0.11310392173689179</v>
      </c>
      <c r="E30" s="62">
        <f t="shared" si="6"/>
        <v>0.11388216303470541</v>
      </c>
      <c r="F30" s="62">
        <f t="shared" si="6"/>
        <v>0.11248454882571075</v>
      </c>
      <c r="G30" s="62">
        <f t="shared" si="6"/>
        <v>0.11312715786380666</v>
      </c>
    </row>
    <row r="31" spans="1:11" ht="19" x14ac:dyDescent="0.25">
      <c r="A31" s="5" t="s">
        <v>24</v>
      </c>
      <c r="B31" s="12">
        <v>24.1</v>
      </c>
      <c r="C31" s="63">
        <v>25.27</v>
      </c>
      <c r="D31" s="63">
        <v>26.32</v>
      </c>
      <c r="E31" s="63">
        <v>28.17</v>
      </c>
      <c r="F31" s="63">
        <v>29.07</v>
      </c>
      <c r="G31" s="63">
        <v>30.74</v>
      </c>
    </row>
    <row r="32" spans="1:11" ht="19" x14ac:dyDescent="0.25">
      <c r="A32" s="5" t="s">
        <v>25</v>
      </c>
      <c r="B32" s="12">
        <v>23.94</v>
      </c>
    </row>
    <row r="33" spans="1:11" ht="19" x14ac:dyDescent="0.25">
      <c r="A33" s="5" t="s">
        <v>26</v>
      </c>
      <c r="B33" s="1">
        <v>51674000</v>
      </c>
    </row>
    <row r="34" spans="1:11" ht="19" x14ac:dyDescent="0.25">
      <c r="A34" s="5" t="s">
        <v>27</v>
      </c>
      <c r="B34" s="1">
        <v>51977000</v>
      </c>
    </row>
    <row r="35" spans="1:11" ht="19" x14ac:dyDescent="0.25">
      <c r="A35" s="14" t="s">
        <v>102</v>
      </c>
      <c r="B35" s="22" t="e">
        <f t="shared" ref="B35" si="7">(B34-A34)/A34</f>
        <v>#VALUE!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9" x14ac:dyDescent="0.25">
      <c r="A36" s="5" t="s">
        <v>28</v>
      </c>
      <c r="B36" s="13" t="s">
        <v>92</v>
      </c>
    </row>
    <row r="37" spans="1:11" ht="21" x14ac:dyDescent="0.25">
      <c r="A37" s="4" t="s">
        <v>29</v>
      </c>
      <c r="B37" s="9" t="s">
        <v>90</v>
      </c>
    </row>
    <row r="38" spans="1:11" ht="19" x14ac:dyDescent="0.25">
      <c r="A38" s="5" t="s">
        <v>30</v>
      </c>
      <c r="B38" s="1">
        <v>737877000</v>
      </c>
    </row>
    <row r="39" spans="1:11" ht="19" x14ac:dyDescent="0.25">
      <c r="A39" s="5" t="s">
        <v>31</v>
      </c>
      <c r="B39" s="1" t="s">
        <v>91</v>
      </c>
    </row>
    <row r="40" spans="1:11" ht="19" x14ac:dyDescent="0.25">
      <c r="A40" s="5" t="s">
        <v>32</v>
      </c>
      <c r="B40" s="1">
        <v>737877000</v>
      </c>
    </row>
    <row r="41" spans="1:11" ht="19" x14ac:dyDescent="0.25">
      <c r="A41" s="5" t="s">
        <v>33</v>
      </c>
      <c r="B41" s="1">
        <v>199422000</v>
      </c>
    </row>
    <row r="42" spans="1:11" ht="19" x14ac:dyDescent="0.25">
      <c r="A42" s="5" t="s">
        <v>34</v>
      </c>
      <c r="B42" s="1">
        <v>1603451000</v>
      </c>
    </row>
    <row r="43" spans="1:11" ht="19" x14ac:dyDescent="0.25">
      <c r="A43" s="5" t="s">
        <v>35</v>
      </c>
      <c r="B43" s="1">
        <v>168554000</v>
      </c>
    </row>
    <row r="44" spans="1:11" ht="19" x14ac:dyDescent="0.25">
      <c r="A44" s="6" t="s">
        <v>36</v>
      </c>
      <c r="B44" s="10">
        <v>2709304000</v>
      </c>
    </row>
    <row r="45" spans="1:11" ht="19" x14ac:dyDescent="0.25">
      <c r="A45" s="5" t="s">
        <v>37</v>
      </c>
      <c r="B45" s="1">
        <v>1009273000</v>
      </c>
    </row>
    <row r="46" spans="1:11" ht="19" x14ac:dyDescent="0.25">
      <c r="A46" s="5" t="s">
        <v>38</v>
      </c>
      <c r="B46" s="1">
        <v>10870000</v>
      </c>
    </row>
    <row r="47" spans="1:11" ht="19" x14ac:dyDescent="0.25">
      <c r="A47" s="5" t="s">
        <v>39</v>
      </c>
      <c r="B47" s="1">
        <v>1312000</v>
      </c>
    </row>
    <row r="48" spans="1:11" ht="19" x14ac:dyDescent="0.25">
      <c r="A48" s="5" t="s">
        <v>40</v>
      </c>
      <c r="B48" s="1">
        <v>12182000</v>
      </c>
    </row>
    <row r="49" spans="1:2" ht="19" x14ac:dyDescent="0.25">
      <c r="A49" s="5" t="s">
        <v>41</v>
      </c>
      <c r="B49" s="1" t="s">
        <v>91</v>
      </c>
    </row>
    <row r="50" spans="1:2" ht="19" x14ac:dyDescent="0.25">
      <c r="A50" s="5" t="s">
        <v>42</v>
      </c>
      <c r="B50" s="1" t="s">
        <v>91</v>
      </c>
    </row>
    <row r="51" spans="1:2" ht="19" x14ac:dyDescent="0.25">
      <c r="A51" s="5" t="s">
        <v>43</v>
      </c>
      <c r="B51" s="1">
        <v>78389000</v>
      </c>
    </row>
    <row r="52" spans="1:2" ht="19" x14ac:dyDescent="0.25">
      <c r="A52" s="5" t="s">
        <v>44</v>
      </c>
      <c r="B52" s="1">
        <v>2661107000</v>
      </c>
    </row>
    <row r="53" spans="1:2" ht="19" x14ac:dyDescent="0.25">
      <c r="A53" s="5" t="s">
        <v>45</v>
      </c>
      <c r="B53" s="1" t="s">
        <v>91</v>
      </c>
    </row>
    <row r="54" spans="1:2" ht="20" thickBot="1" x14ac:dyDescent="0.3">
      <c r="A54" s="7" t="s">
        <v>46</v>
      </c>
      <c r="B54" s="11">
        <v>5370411000</v>
      </c>
    </row>
    <row r="55" spans="1:2" ht="20" thickTop="1" x14ac:dyDescent="0.25">
      <c r="A55" s="5" t="s">
        <v>47</v>
      </c>
      <c r="B55" s="1">
        <v>559527000</v>
      </c>
    </row>
    <row r="56" spans="1:2" ht="19" x14ac:dyDescent="0.25">
      <c r="A56" s="5" t="s">
        <v>48</v>
      </c>
      <c r="B56" s="1">
        <v>283293000</v>
      </c>
    </row>
    <row r="57" spans="1:2" ht="19" x14ac:dyDescent="0.25">
      <c r="A57" s="5" t="s">
        <v>49</v>
      </c>
      <c r="B57" s="1">
        <v>56250000</v>
      </c>
    </row>
    <row r="58" spans="1:2" ht="19" x14ac:dyDescent="0.25">
      <c r="A58" s="5" t="s">
        <v>50</v>
      </c>
      <c r="B58" s="1">
        <v>394677000</v>
      </c>
    </row>
    <row r="59" spans="1:2" ht="19" x14ac:dyDescent="0.25">
      <c r="A59" s="5" t="s">
        <v>51</v>
      </c>
      <c r="B59" s="1">
        <v>321333000</v>
      </c>
    </row>
    <row r="60" spans="1:2" ht="19" x14ac:dyDescent="0.25">
      <c r="A60" s="6" t="s">
        <v>52</v>
      </c>
      <c r="B60" s="10">
        <v>1681775000</v>
      </c>
    </row>
    <row r="61" spans="1:2" ht="19" x14ac:dyDescent="0.25">
      <c r="A61" s="5" t="s">
        <v>53</v>
      </c>
      <c r="B61" s="1">
        <v>1619883000</v>
      </c>
    </row>
    <row r="62" spans="1:2" ht="19" x14ac:dyDescent="0.25">
      <c r="A62" s="5" t="s">
        <v>50</v>
      </c>
      <c r="B62" s="1" t="s">
        <v>91</v>
      </c>
    </row>
    <row r="63" spans="1:2" ht="19" x14ac:dyDescent="0.25">
      <c r="A63" s="5" t="s">
        <v>54</v>
      </c>
      <c r="B63" s="1">
        <v>55346000</v>
      </c>
    </row>
    <row r="64" spans="1:2" ht="19" x14ac:dyDescent="0.25">
      <c r="A64" s="5" t="s">
        <v>55</v>
      </c>
      <c r="B64" s="1">
        <v>53596000</v>
      </c>
    </row>
    <row r="65" spans="1:11" ht="19" x14ac:dyDescent="0.25">
      <c r="A65" s="5" t="s">
        <v>56</v>
      </c>
      <c r="B65" s="1">
        <v>1670996000</v>
      </c>
    </row>
    <row r="66" spans="1:11" ht="19" x14ac:dyDescent="0.25">
      <c r="A66" s="5" t="s">
        <v>57</v>
      </c>
      <c r="B66" s="1" t="s">
        <v>91</v>
      </c>
    </row>
    <row r="67" spans="1:11" ht="19" x14ac:dyDescent="0.25">
      <c r="A67" s="6" t="s">
        <v>58</v>
      </c>
      <c r="B67" s="10">
        <v>3410600000</v>
      </c>
    </row>
    <row r="68" spans="1:11" ht="19" x14ac:dyDescent="0.25">
      <c r="A68" s="5" t="s">
        <v>59</v>
      </c>
      <c r="B68" s="1">
        <v>530000</v>
      </c>
    </row>
    <row r="69" spans="1:11" ht="19" x14ac:dyDescent="0.25">
      <c r="A69" s="5" t="s">
        <v>60</v>
      </c>
      <c r="B69" s="1">
        <v>424438000</v>
      </c>
    </row>
    <row r="70" spans="1:11" ht="19" x14ac:dyDescent="0.25">
      <c r="A70" s="5" t="s">
        <v>61</v>
      </c>
      <c r="B70" s="1" t="s">
        <v>91</v>
      </c>
    </row>
    <row r="71" spans="1:11" ht="19" x14ac:dyDescent="0.25">
      <c r="A71" s="5" t="s">
        <v>62</v>
      </c>
      <c r="B71" s="1">
        <v>881467000</v>
      </c>
    </row>
    <row r="72" spans="1:11" ht="19" x14ac:dyDescent="0.25">
      <c r="A72" s="6" t="s">
        <v>63</v>
      </c>
      <c r="B72" s="10">
        <v>1959811000</v>
      </c>
    </row>
    <row r="73" spans="1:11" ht="20" thickBot="1" x14ac:dyDescent="0.3">
      <c r="A73" s="7" t="s">
        <v>64</v>
      </c>
      <c r="B73" s="11">
        <v>5370411000</v>
      </c>
    </row>
    <row r="74" spans="1:11" ht="20" thickTop="1" x14ac:dyDescent="0.25">
      <c r="A74" s="5" t="s">
        <v>28</v>
      </c>
      <c r="B74" s="13" t="s">
        <v>92</v>
      </c>
    </row>
    <row r="75" spans="1:11" ht="21" x14ac:dyDescent="0.25">
      <c r="A75" s="4" t="s">
        <v>65</v>
      </c>
      <c r="B75" s="9" t="s">
        <v>90</v>
      </c>
    </row>
    <row r="76" spans="1:11" ht="19" x14ac:dyDescent="0.25">
      <c r="A76" s="5" t="s">
        <v>22</v>
      </c>
      <c r="B76" s="1">
        <v>1242408000</v>
      </c>
    </row>
    <row r="77" spans="1:11" ht="19" x14ac:dyDescent="0.25">
      <c r="A77" s="5" t="s">
        <v>13</v>
      </c>
      <c r="B77" s="1">
        <v>241372000</v>
      </c>
    </row>
    <row r="78" spans="1:11" ht="19" x14ac:dyDescent="0.25">
      <c r="A78" s="5" t="s">
        <v>67</v>
      </c>
      <c r="B78" s="1">
        <v>15653000</v>
      </c>
    </row>
    <row r="79" spans="1:11" ht="19" x14ac:dyDescent="0.25">
      <c r="A79" s="5" t="s">
        <v>68</v>
      </c>
      <c r="B79" s="1">
        <v>43044000</v>
      </c>
    </row>
    <row r="80" spans="1:11" ht="19" x14ac:dyDescent="0.25">
      <c r="A80" s="14" t="s">
        <v>103</v>
      </c>
      <c r="B80" s="15">
        <f t="shared" ref="B80" si="8">B79/B3</f>
        <v>4.2166927899686523E-3</v>
      </c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9" x14ac:dyDescent="0.25">
      <c r="A81" s="5" t="s">
        <v>69</v>
      </c>
      <c r="B81" s="1"/>
    </row>
    <row r="82" spans="1:11" ht="19" x14ac:dyDescent="0.25">
      <c r="A82" s="5" t="s">
        <v>70</v>
      </c>
      <c r="B82" s="1" t="s">
        <v>91</v>
      </c>
    </row>
    <row r="83" spans="1:11" ht="21" x14ac:dyDescent="0.25">
      <c r="A83" s="5" t="s">
        <v>34</v>
      </c>
      <c r="B83" s="1">
        <v>-104233000</v>
      </c>
      <c r="I83" s="113" t="s">
        <v>124</v>
      </c>
      <c r="J83" s="114"/>
    </row>
    <row r="84" spans="1:11" ht="19" x14ac:dyDescent="0.25">
      <c r="A84" s="5" t="s">
        <v>47</v>
      </c>
      <c r="B84" s="1"/>
      <c r="I84" s="115" t="s">
        <v>125</v>
      </c>
      <c r="J84" s="116"/>
    </row>
    <row r="85" spans="1:11" ht="40" x14ac:dyDescent="0.25">
      <c r="A85" s="5" t="s">
        <v>71</v>
      </c>
      <c r="B85" s="1"/>
      <c r="I85" s="47" t="s">
        <v>126</v>
      </c>
      <c r="J85" s="48">
        <f>B17</f>
        <v>4943000</v>
      </c>
    </row>
    <row r="86" spans="1:11" ht="60" x14ac:dyDescent="0.25">
      <c r="A86" s="5" t="s">
        <v>72</v>
      </c>
      <c r="B86" s="1"/>
      <c r="I86" s="47" t="s">
        <v>127</v>
      </c>
      <c r="J86" s="48">
        <f>B56</f>
        <v>283293000</v>
      </c>
    </row>
    <row r="87" spans="1:11" ht="60" x14ac:dyDescent="0.25">
      <c r="A87" s="6" t="s">
        <v>73</v>
      </c>
      <c r="B87" s="10">
        <v>1481915000</v>
      </c>
      <c r="I87" s="47" t="s">
        <v>128</v>
      </c>
      <c r="J87" s="48">
        <f>B61</f>
        <v>1619883000</v>
      </c>
    </row>
    <row r="88" spans="1:11" ht="40" x14ac:dyDescent="0.25">
      <c r="A88" s="5" t="s">
        <v>74</v>
      </c>
      <c r="B88" s="1">
        <v>-312126000</v>
      </c>
      <c r="I88" s="49" t="s">
        <v>129</v>
      </c>
      <c r="J88" s="50">
        <f>J85/(J86+J87)</f>
        <v>2.5972374599091204E-3</v>
      </c>
    </row>
    <row r="89" spans="1:11" ht="60" x14ac:dyDescent="0.25">
      <c r="A89" s="14" t="s">
        <v>104</v>
      </c>
      <c r="B89" s="15">
        <f t="shared" ref="B89" si="9">(-1*B88)/B3</f>
        <v>3.05766065830721E-2</v>
      </c>
      <c r="I89" s="47" t="s">
        <v>105</v>
      </c>
      <c r="J89" s="48">
        <f>B27</f>
        <v>401163000</v>
      </c>
      <c r="K89" s="15"/>
    </row>
    <row r="90" spans="1:11" ht="60" x14ac:dyDescent="0.25">
      <c r="A90" s="5" t="s">
        <v>75</v>
      </c>
      <c r="B90" s="1" t="s">
        <v>91</v>
      </c>
      <c r="I90" s="47" t="s">
        <v>19</v>
      </c>
      <c r="J90" s="48">
        <f>B25</f>
        <v>1640273000</v>
      </c>
    </row>
    <row r="91" spans="1:11" ht="40" x14ac:dyDescent="0.25">
      <c r="A91" s="5" t="s">
        <v>76</v>
      </c>
      <c r="B91" s="1">
        <v>-2458000</v>
      </c>
      <c r="I91" s="49" t="s">
        <v>130</v>
      </c>
      <c r="J91" s="50">
        <f>J89/J90</f>
        <v>0.24457087326317023</v>
      </c>
    </row>
    <row r="92" spans="1:11" ht="60" x14ac:dyDescent="0.25">
      <c r="A92" s="5" t="s">
        <v>77</v>
      </c>
      <c r="B92" s="1" t="s">
        <v>91</v>
      </c>
      <c r="I92" s="51" t="s">
        <v>131</v>
      </c>
      <c r="J92" s="52">
        <f>J88*(1-J91)</f>
        <v>1.9620288262673291E-3</v>
      </c>
    </row>
    <row r="93" spans="1:11" ht="19" x14ac:dyDescent="0.25">
      <c r="A93" s="5" t="s">
        <v>78</v>
      </c>
      <c r="B93" s="1">
        <f>B88</f>
        <v>-312126000</v>
      </c>
      <c r="I93" s="117" t="s">
        <v>132</v>
      </c>
      <c r="J93" s="118"/>
    </row>
    <row r="94" spans="1:11" ht="40" x14ac:dyDescent="0.25">
      <c r="A94" s="6" t="s">
        <v>79</v>
      </c>
      <c r="B94" s="10">
        <v>-314584000</v>
      </c>
      <c r="I94" s="47" t="s">
        <v>133</v>
      </c>
      <c r="J94" s="53" t="e">
        <f>#REF!</f>
        <v>#REF!</v>
      </c>
    </row>
    <row r="95" spans="1:11" ht="20" x14ac:dyDescent="0.25">
      <c r="A95" s="5" t="s">
        <v>80</v>
      </c>
      <c r="B95" s="1" t="s">
        <v>91</v>
      </c>
      <c r="I95" s="47" t="s">
        <v>134</v>
      </c>
      <c r="J95" s="54" t="e" cm="1" vm="3">
        <f t="array" ref="J95">_FV(#REF!,"Beta")</f>
        <v>#VALUE!</v>
      </c>
    </row>
    <row r="96" spans="1:11" ht="40" x14ac:dyDescent="0.25">
      <c r="A96" s="5" t="s">
        <v>81</v>
      </c>
      <c r="B96" s="1" t="s">
        <v>91</v>
      </c>
      <c r="I96" s="47" t="s">
        <v>135</v>
      </c>
      <c r="J96" s="53">
        <v>8.4000000000000005E-2</v>
      </c>
    </row>
    <row r="97" spans="1:11" ht="40" x14ac:dyDescent="0.25">
      <c r="A97" s="5" t="s">
        <v>82</v>
      </c>
      <c r="B97" s="1">
        <v>-900033000</v>
      </c>
      <c r="I97" s="51" t="s">
        <v>136</v>
      </c>
      <c r="J97" s="52" t="e">
        <f>(J94)+((J95)*(J96-J94))</f>
        <v>#REF!</v>
      </c>
    </row>
    <row r="98" spans="1:11" ht="19" x14ac:dyDescent="0.25">
      <c r="A98" s="5" t="s">
        <v>83</v>
      </c>
      <c r="B98" s="1">
        <v>0</v>
      </c>
      <c r="I98" s="117" t="s">
        <v>137</v>
      </c>
      <c r="J98" s="118"/>
    </row>
    <row r="99" spans="1:11" ht="40" x14ac:dyDescent="0.25">
      <c r="A99" s="5" t="s">
        <v>84</v>
      </c>
      <c r="B99" s="1">
        <v>46011000</v>
      </c>
      <c r="I99" s="47" t="s">
        <v>138</v>
      </c>
      <c r="J99" s="48">
        <f>J86+J87</f>
        <v>1903176000</v>
      </c>
    </row>
    <row r="100" spans="1:11" ht="40" x14ac:dyDescent="0.25">
      <c r="A100" s="6" t="s">
        <v>85</v>
      </c>
      <c r="B100" s="10">
        <v>-861014000</v>
      </c>
      <c r="I100" s="49" t="s">
        <v>139</v>
      </c>
      <c r="J100" s="50" t="e" vm="2">
        <f>J99/J103</f>
        <v>#VALUE!</v>
      </c>
    </row>
    <row r="101" spans="1:11" ht="40" x14ac:dyDescent="0.25">
      <c r="A101" s="5" t="s">
        <v>86</v>
      </c>
      <c r="B101" s="1">
        <v>-56000</v>
      </c>
      <c r="I101" s="47" t="s">
        <v>140</v>
      </c>
      <c r="J101" s="39" t="e" cm="1" vm="4">
        <f t="array" ref="J101">_FV(#REF!,"Market cap",TRUE)</f>
        <v>#VALUE!</v>
      </c>
    </row>
    <row r="102" spans="1:11" ht="40" x14ac:dyDescent="0.25">
      <c r="A102" s="6" t="s">
        <v>87</v>
      </c>
      <c r="B102" s="10">
        <v>306317000</v>
      </c>
      <c r="I102" s="49" t="s">
        <v>141</v>
      </c>
      <c r="J102" s="50" t="e" vm="2">
        <f>J101/J103</f>
        <v>#VALUE!</v>
      </c>
    </row>
    <row r="103" spans="1:11" ht="20" x14ac:dyDescent="0.25">
      <c r="A103" s="5" t="s">
        <v>88</v>
      </c>
      <c r="B103" s="1">
        <v>431560000</v>
      </c>
      <c r="I103" s="51" t="s">
        <v>142</v>
      </c>
      <c r="J103" s="55" t="e" vm="2">
        <f>J99+J101</f>
        <v>#VALUE!</v>
      </c>
    </row>
    <row r="104" spans="1:11" ht="20" thickBot="1" x14ac:dyDescent="0.3">
      <c r="A104" s="7" t="s">
        <v>89</v>
      </c>
      <c r="B104" s="11">
        <v>737877000</v>
      </c>
      <c r="I104" s="115" t="s">
        <v>143</v>
      </c>
      <c r="J104" s="116"/>
    </row>
    <row r="105" spans="1:11" ht="21" thickTop="1" x14ac:dyDescent="0.25">
      <c r="A105" s="14" t="s">
        <v>161</v>
      </c>
      <c r="B105" s="1">
        <f>(B22*(1-$AD$91))+B77+B88+B81</f>
        <v>1567856000</v>
      </c>
      <c r="C105" s="28">
        <f>B105*(1+$AD$106)</f>
        <v>1567856000</v>
      </c>
      <c r="D105" s="28">
        <f t="shared" ref="D105:G105" si="10">C105*(1+$AD$106)</f>
        <v>1567856000</v>
      </c>
      <c r="E105" s="28">
        <f t="shared" si="10"/>
        <v>1567856000</v>
      </c>
      <c r="F105" s="28">
        <f t="shared" si="10"/>
        <v>1567856000</v>
      </c>
      <c r="G105" s="28">
        <f t="shared" si="10"/>
        <v>1567856000</v>
      </c>
      <c r="H105" s="29" t="s">
        <v>163</v>
      </c>
      <c r="I105" s="23" t="s">
        <v>107</v>
      </c>
      <c r="J105" s="24" t="e" vm="2">
        <f>(J100*J92)+(J102*J97)</f>
        <v>#VALUE!</v>
      </c>
      <c r="K105" s="15"/>
    </row>
    <row r="106" spans="1:11" ht="35" x14ac:dyDescent="0.25">
      <c r="A106" s="14" t="s">
        <v>106</v>
      </c>
      <c r="B106" s="15" t="e">
        <f t="shared" ref="B106" si="11">(B107/A107)-1</f>
        <v>#VALUE!</v>
      </c>
      <c r="C106" s="67">
        <v>981700000</v>
      </c>
      <c r="D106" s="67">
        <v>1053000000</v>
      </c>
      <c r="E106" s="67">
        <v>1138000000</v>
      </c>
      <c r="F106" s="67">
        <v>1324000000</v>
      </c>
      <c r="G106" s="67">
        <v>1403000000</v>
      </c>
      <c r="H106" s="29" t="s">
        <v>164</v>
      </c>
      <c r="I106" s="30" t="s">
        <v>144</v>
      </c>
      <c r="J106" s="31">
        <f>(SUM(C4:G4)/5)</f>
        <v>5.9363782258776567E-2</v>
      </c>
    </row>
    <row r="107" spans="1:11" ht="52" x14ac:dyDescent="0.25">
      <c r="A107" s="68" t="s">
        <v>162</v>
      </c>
      <c r="B107" s="1">
        <v>1170000000</v>
      </c>
      <c r="C107" s="29"/>
      <c r="D107" s="29"/>
      <c r="E107" s="29"/>
      <c r="F107" s="29"/>
      <c r="G107" s="32" t="e" vm="2">
        <f>G105*(1+J107)/(J108-J107)</f>
        <v>#VALUE!</v>
      </c>
      <c r="H107" s="33" t="s">
        <v>145</v>
      </c>
      <c r="I107" s="34" t="s">
        <v>146</v>
      </c>
      <c r="J107" s="35">
        <v>2.5000000000000001E-2</v>
      </c>
    </row>
    <row r="108" spans="1:11" ht="19" x14ac:dyDescent="0.25">
      <c r="C108" s="32">
        <f t="shared" ref="C108:F108" si="12">C107+C105</f>
        <v>1567856000</v>
      </c>
      <c r="D108" s="32">
        <f t="shared" si="12"/>
        <v>1567856000</v>
      </c>
      <c r="E108" s="32">
        <f t="shared" si="12"/>
        <v>1567856000</v>
      </c>
      <c r="F108" s="32">
        <f t="shared" si="12"/>
        <v>1567856000</v>
      </c>
      <c r="G108" s="32" t="e" vm="2">
        <f>G107+G105</f>
        <v>#VALUE!</v>
      </c>
      <c r="H108" s="33" t="s">
        <v>142</v>
      </c>
      <c r="I108" s="36" t="s">
        <v>147</v>
      </c>
      <c r="J108" s="37" t="e" vm="2">
        <f>J105</f>
        <v>#VALUE!</v>
      </c>
    </row>
    <row r="109" spans="1:11" ht="19" x14ac:dyDescent="0.25">
      <c r="C109" s="111" t="s">
        <v>148</v>
      </c>
      <c r="D109" s="112"/>
    </row>
    <row r="110" spans="1:11" ht="40" x14ac:dyDescent="0.25">
      <c r="C110" s="38" t="s">
        <v>149</v>
      </c>
      <c r="D110" s="39" t="e" vm="2">
        <f>NPV(J108,C108,D108,E108,F108,G108)</f>
        <v>#VALUE!</v>
      </c>
    </row>
    <row r="111" spans="1:11" ht="40" x14ac:dyDescent="0.25">
      <c r="C111" s="38" t="s">
        <v>150</v>
      </c>
      <c r="D111" s="39">
        <f>B40</f>
        <v>737877000</v>
      </c>
    </row>
    <row r="112" spans="1:11" ht="40" x14ac:dyDescent="0.25">
      <c r="C112" s="38" t="s">
        <v>138</v>
      </c>
      <c r="D112" s="39">
        <f>J99</f>
        <v>1903176000</v>
      </c>
    </row>
    <row r="113" spans="3:4" ht="40" x14ac:dyDescent="0.25">
      <c r="C113" s="38" t="s">
        <v>151</v>
      </c>
      <c r="D113" s="39" t="e" vm="2">
        <f>D110+D111-D112</f>
        <v>#VALUE!</v>
      </c>
    </row>
    <row r="114" spans="3:4" ht="20" x14ac:dyDescent="0.25">
      <c r="C114" s="38" t="s">
        <v>152</v>
      </c>
      <c r="D114" s="45" t="e">
        <f>B34*(1+(5*H16))</f>
        <v>#VALUE!</v>
      </c>
    </row>
    <row r="115" spans="3:4" ht="40" x14ac:dyDescent="0.25">
      <c r="C115" s="40" t="s">
        <v>153</v>
      </c>
      <c r="D115" s="41" t="e" vm="2">
        <f>D113/D114</f>
        <v>#VALUE!</v>
      </c>
    </row>
    <row r="116" spans="3:4" ht="40" x14ac:dyDescent="0.25">
      <c r="C116" s="38" t="s">
        <v>154</v>
      </c>
      <c r="D116" s="56" t="e" cm="1" vm="5">
        <f t="array" ref="D116">_FV(#REF!,"Price")</f>
        <v>#VALUE!</v>
      </c>
    </row>
    <row r="117" spans="3:4" ht="40" x14ac:dyDescent="0.25">
      <c r="C117" s="42" t="s">
        <v>155</v>
      </c>
      <c r="D117" s="43" t="e" vm="2">
        <f>D115/D116-1</f>
        <v>#VALUE!</v>
      </c>
    </row>
    <row r="118" spans="3:4" ht="20" x14ac:dyDescent="0.25">
      <c r="C118" s="42" t="s">
        <v>156</v>
      </c>
      <c r="D118" s="44" t="e" vm="2">
        <f>IF(D115&gt;D116,"BUY","SELL")</f>
        <v>#VALUE!</v>
      </c>
    </row>
  </sheetData>
  <mergeCells count="6">
    <mergeCell ref="C109:D109"/>
    <mergeCell ref="I83:J83"/>
    <mergeCell ref="I84:J84"/>
    <mergeCell ref="I93:J93"/>
    <mergeCell ref="I98:J98"/>
    <mergeCell ref="I104:J104"/>
  </mergeCells>
  <hyperlinks>
    <hyperlink ref="A1" r:id="rId1" tooltip="https://roic.ai/company/ULTA" display="ROIC.AI | ULTA" xr:uid="{F6798634-70DF-0348-A1B8-BF68749E8389}"/>
    <hyperlink ref="B36" r:id="rId2" tooltip="https://www.sec.gov/Archives/edgar/data/1403568/000155837022004330/0001558370-22-004330-index.htm" xr:uid="{6C591D54-F908-0C47-A33F-5FA9BB99CB80}"/>
    <hyperlink ref="B74" r:id="rId3" tooltip="https://www.sec.gov/Archives/edgar/data/1403568/000155837022004330/0001558370-22-004330-index.htm" xr:uid="{A5D74D45-CD8F-5547-A72A-5EC39014E34B}"/>
    <hyperlink ref="C1" r:id="rId4" display="https://finbox.com/NASDAQGS:ULTA/explorer/revenue_proj" xr:uid="{77047621-2C6A-E646-B00D-8FBD97A93C0C}"/>
    <hyperlink ref="H106" r:id="rId5" xr:uid="{F7DEE708-5813-F848-9B56-6BD568F1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2023-01-12T11:00:38Z</dcterms:created>
  <dcterms:modified xsi:type="dcterms:W3CDTF">2023-10-20T04:27:25Z</dcterms:modified>
</cp:coreProperties>
</file>