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037F2B97-5FF3-DD4B-8384-F4A82D18ECB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O17" i="2" s="1"/>
  <c r="J15" i="2"/>
  <c r="I15" i="2"/>
  <c r="H15" i="2"/>
  <c r="G15" i="2"/>
  <c r="F15" i="2"/>
  <c r="E15" i="2"/>
  <c r="D15" i="2"/>
  <c r="E5" i="2" s="1"/>
  <c r="C15" i="2"/>
  <c r="O14" i="2"/>
  <c r="J13" i="2"/>
  <c r="I13" i="2"/>
  <c r="H13" i="2"/>
  <c r="G13" i="2"/>
  <c r="F13" i="2"/>
  <c r="E13" i="2"/>
  <c r="D13" i="2"/>
  <c r="C13" i="2"/>
  <c r="E4" i="2" s="1"/>
  <c r="J11" i="2"/>
  <c r="I11" i="2"/>
  <c r="H11" i="2"/>
  <c r="G11" i="2"/>
  <c r="F11" i="2"/>
  <c r="E11" i="2"/>
  <c r="D11" i="2"/>
  <c r="C11" i="2"/>
  <c r="E3" i="2" s="1"/>
  <c r="O11" i="2"/>
  <c r="O19" i="2"/>
  <c r="O8"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B36" i="1"/>
  <c r="C36" i="1"/>
  <c r="D36" i="1"/>
  <c r="E36" i="1"/>
  <c r="F36" i="1"/>
  <c r="G36" i="1"/>
  <c r="H36" i="1"/>
  <c r="I36" i="1"/>
  <c r="J36" i="1"/>
  <c r="K36" i="1"/>
  <c r="L36" i="1"/>
  <c r="M36" i="1"/>
  <c r="N36" i="1"/>
  <c r="O36" i="1"/>
  <c r="P36" i="1"/>
  <c r="Q36" i="1"/>
  <c r="R36" i="1"/>
  <c r="S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G4" i="2"/>
  <c r="O12" i="2"/>
  <c r="O21" i="2"/>
  <c r="C7" i="2" s="1"/>
  <c r="A6" i="2"/>
  <c r="A7" i="2"/>
  <c r="O23" i="2" l="1"/>
  <c r="O22" i="2"/>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<sst xmlns="http://schemas.openxmlformats.org/spreadsheetml/2006/main" count="1621" uniqueCount="250">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</sst>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left" vertical="center" indent="14"/>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0" fontId="14" fillId="12" borderId="1" xfId="0" applyFont="1" applyFill="1" applyBorder="1" applyAlignment="1">
      <alignment horizontal="left" vertical="center" wrapText="1" indent="1"/>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4.8470000000000006E-2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https://www.bing.com/financeapi/forcetrigger?t=a1mscw&amp;q=XNAS%3aACGL&amp;form=skydnc</v>
    <v>Learn more on Bing</v>
  </rv>
  <rv s="1">
    <v>0</v>
    <v>ARCH CAPITAL GROUP LTD. (XNAS:ACGL)</v>
    <v>2</v>
    <v>3</v>
    <v>Finance</v>
    <v>4</v>
    <v>en-US</v>
    <v>a1mscw</v>
    <v>268435456</v>
    <v>1</v>
    <v>Powered by Refinitiv</v>
    <v>87.51</v>
    <v>47.305</v>
    <v>0.70030000000000003</v>
    <v>-1.17</v>
    <v>-1.3507E-2</v>
    <v>USD</v>
    <v>Arch Capital Group Ltd. is a Bermuda-based company that provides insurance, reinsurance and mortgage insurance through its wholly owned subsidiaries. Its insurance segment consists of the Company’s insurance underwriting units, which offer specialty product lines, including construction and national accounts; excess and surplus casualty; lenders products; professional lines; programs; property, energy, marine and aviation; travel, accident and health, and other (consisting of alternative markets, excess workers' compensation and surety business). The reinsurance segment consists of the Company’s reinsurance underwriting units, which offer specialty product lines, including casualty; marine and aviation; other specialty; property catastrophe; property excluding property catastrophe, and other. The mortgage segment includes the Company’s United States primary mortgage insurance business, investment and services related to United States credit-risk transfer (CRT).</v>
    <v>5800</v>
    <v>Nasdaq Stock Market</v>
    <v>XNAS</v>
    <v>XNAS</v>
    <v>WATERLOO HOUSE, GROUND FLOOR, 100 PITTS BAY ROAD, PEMBROKE, HM 08 BM</v>
    <v>87.51</v>
    <v>Insurance</v>
    <v>Stock</v>
    <v>45217.991357800784</v>
    <v>0</v>
    <v>85.32</v>
    <v>31868944935</v>
    <v>ARCH CAPITAL GROUP LTD.</v>
    <v>ARCH CAPITAL GROUP LTD.</v>
    <v>86.75</v>
    <v>14.4933</v>
    <v>86.62</v>
    <v>85.45</v>
    <v>372954300</v>
    <v>ACGL</v>
    <v>ARCH CAPITAL GROUP LTD. (XNAS:ACGL)</v>
    <v>2029255</v>
    <v>1658439</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C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C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topLeftCell="A179" workbookViewId="0">
      <pane xSplit="1" topLeftCell="I1" activePane="topRight" state="frozen"/>
      <selection pane="topRight" activeCell="M201" sqref="M201"/>
    </sheetView>
  </sheetViews>
  <sheetFormatPr baseColWidth="10" defaultRowHeight="16" x14ac:dyDescent="0.2"/>
  <cols>
    <col min="1" max="1" width="40.83203125" customWidth="1"/>
    <col min="2" max="20" width="16.83203125" customWidth="1"/>
  </cols>
  <sheetData>
    <row r="1" spans="1:30"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x14ac:dyDescent="0.2">
      <c r="A2" s="2" t="s">
        <v>18</v>
      </c>
      <c r="B2" s="3">
        <v>3244067000</v>
      </c>
      <c r="C2" s="3">
        <v>3125327000</v>
      </c>
      <c r="D2" s="3">
        <v>3380298000</v>
      </c>
      <c r="E2" s="3">
        <v>3478121000</v>
      </c>
      <c r="F2" s="3">
        <v>4052734000</v>
      </c>
      <c r="G2" s="3">
        <v>3977253000</v>
      </c>
      <c r="H2" s="3">
        <v>4451732000</v>
      </c>
      <c r="I2" s="3">
        <v>5369307000</v>
      </c>
      <c r="J2" s="3">
        <v>5474329000</v>
      </c>
      <c r="K2" s="3">
        <v>6783919000</v>
      </c>
      <c r="L2" s="3">
        <v>8294948000</v>
      </c>
      <c r="M2" s="3">
        <v>8925107000</v>
      </c>
      <c r="N2" s="3">
        <v>9599857000</v>
      </c>
      <c r="O2" s="4">
        <v>11635929000</v>
      </c>
      <c r="P2" s="3">
        <v>2495619000</v>
      </c>
      <c r="Q2" s="3">
        <v>2950310000</v>
      </c>
      <c r="R2" s="3">
        <v>3102000000</v>
      </c>
      <c r="S2" s="3">
        <v>3088000000</v>
      </c>
    </row>
    <row r="3" spans="1:30" ht="19" x14ac:dyDescent="0.25">
      <c r="A3" s="9" t="s">
        <v>191</v>
      </c>
      <c r="B3" s="10"/>
      <c r="C3" s="11">
        <f t="shared" ref="C3:O3" si="0">(C2/B2)-1</f>
        <v>-3.6602203345368678E-2</v>
      </c>
      <c r="D3" s="11">
        <f t="shared" si="0"/>
        <v>8.1582183240345829E-2</v>
      </c>
      <c r="E3" s="11">
        <f t="shared" si="0"/>
        <v>2.8939164535197737E-2</v>
      </c>
      <c r="F3" s="11">
        <f t="shared" si="0"/>
        <v>0.16520788092191152</v>
      </c>
      <c r="G3" s="11">
        <f t="shared" si="0"/>
        <v>-1.862471112093711E-2</v>
      </c>
      <c r="H3" s="11">
        <f t="shared" si="0"/>
        <v>0.11929816886177469</v>
      </c>
      <c r="I3" s="11">
        <f t="shared" si="0"/>
        <v>0.206116405929198</v>
      </c>
      <c r="J3" s="11">
        <f t="shared" si="0"/>
        <v>1.9559693643891096E-2</v>
      </c>
      <c r="K3" s="11">
        <f t="shared" si="0"/>
        <v>0.23922383912256651</v>
      </c>
      <c r="L3" s="11">
        <f t="shared" si="0"/>
        <v>0.22273688704125161</v>
      </c>
      <c r="M3" s="11">
        <f t="shared" si="0"/>
        <v>7.5969011499529504E-2</v>
      </c>
      <c r="N3" s="11">
        <f t="shared" si="0"/>
        <v>7.5601334527418018E-2</v>
      </c>
      <c r="O3" s="11">
        <f t="shared" si="0"/>
        <v>0.21209399265009887</v>
      </c>
      <c r="P3" s="11"/>
      <c r="Q3" s="11">
        <f>(Q2/P2)-1</f>
        <v>0.1821956797091222</v>
      </c>
      <c r="R3" s="11">
        <f>(R2/Q2)-1</f>
        <v>5.1414936057566862E-2</v>
      </c>
      <c r="S3" s="11">
        <f>(S2/R2)-1</f>
        <v>-4.5132172791747527E-3</v>
      </c>
      <c r="T3" s="12"/>
      <c r="U3" s="12"/>
      <c r="V3" s="12"/>
      <c r="W3" s="12"/>
      <c r="X3" s="12"/>
      <c r="Y3" s="12"/>
      <c r="Z3" s="12"/>
      <c r="AA3" s="13"/>
      <c r="AB3" s="13"/>
      <c r="AC3" s="13"/>
      <c r="AD3" s="13"/>
    </row>
    <row r="4" spans="1:30" x14ac:dyDescent="0.2">
      <c r="A4" s="2" t="s">
        <v>19</v>
      </c>
      <c r="B4" s="3">
        <v>3244067000</v>
      </c>
      <c r="C4" s="3">
        <v>3125327000</v>
      </c>
      <c r="D4" s="3">
        <v>3380298000</v>
      </c>
      <c r="E4" s="3">
        <v>3478121000</v>
      </c>
      <c r="F4" s="3">
        <v>4052734000</v>
      </c>
      <c r="G4" s="3">
        <v>3977253000</v>
      </c>
      <c r="H4" s="3">
        <v>4451732000</v>
      </c>
      <c r="I4" s="3">
        <v>5369307000</v>
      </c>
      <c r="J4" s="3">
        <v>5474329000</v>
      </c>
      <c r="K4" s="3">
        <v>6783919000</v>
      </c>
      <c r="L4" s="3">
        <v>8294948000</v>
      </c>
      <c r="M4" s="3">
        <v>8925107000</v>
      </c>
      <c r="N4" s="3">
        <v>9599857000</v>
      </c>
      <c r="O4" s="4">
        <v>11635929000</v>
      </c>
      <c r="P4" s="3">
        <v>2495619000</v>
      </c>
      <c r="Q4" s="3">
        <v>2950310000</v>
      </c>
      <c r="R4" s="3">
        <v>3102000000</v>
      </c>
      <c r="S4" s="3">
        <v>3088000000</v>
      </c>
    </row>
    <row r="5" spans="1:30" x14ac:dyDescent="0.2">
      <c r="A5" s="2" t="s">
        <v>20</v>
      </c>
      <c r="B5" s="3" t="s">
        <v>21</v>
      </c>
      <c r="C5" s="3" t="s">
        <v>21</v>
      </c>
      <c r="D5" s="3" t="s">
        <v>21</v>
      </c>
      <c r="E5" s="3" t="s">
        <v>21</v>
      </c>
      <c r="F5" s="3" t="s">
        <v>21</v>
      </c>
      <c r="G5" s="3" t="s">
        <v>21</v>
      </c>
      <c r="H5" s="3" t="s">
        <v>21</v>
      </c>
      <c r="I5" s="3" t="s">
        <v>21</v>
      </c>
      <c r="J5" s="3" t="s">
        <v>21</v>
      </c>
      <c r="K5" s="3" t="s">
        <v>21</v>
      </c>
      <c r="L5" s="3" t="s">
        <v>21</v>
      </c>
      <c r="M5" s="3" t="s">
        <v>21</v>
      </c>
      <c r="N5" s="3" t="s">
        <v>21</v>
      </c>
      <c r="O5" s="4" t="s">
        <v>21</v>
      </c>
      <c r="P5" s="3" t="s">
        <v>21</v>
      </c>
      <c r="Q5" s="3" t="s">
        <v>21</v>
      </c>
      <c r="R5" s="3" t="s">
        <v>21</v>
      </c>
      <c r="S5" s="3" t="s">
        <v>21</v>
      </c>
    </row>
    <row r="6" spans="1:30" x14ac:dyDescent="0.2">
      <c r="A6" s="2" t="s">
        <v>22</v>
      </c>
      <c r="B6" s="3" t="s">
        <v>21</v>
      </c>
      <c r="C6" s="3" t="s">
        <v>21</v>
      </c>
      <c r="D6" s="3" t="s">
        <v>21</v>
      </c>
      <c r="E6" s="3" t="s">
        <v>21</v>
      </c>
      <c r="F6" s="3" t="s">
        <v>21</v>
      </c>
      <c r="G6" s="3" t="s">
        <v>21</v>
      </c>
      <c r="H6" s="3" t="s">
        <v>21</v>
      </c>
      <c r="I6" s="3" t="s">
        <v>21</v>
      </c>
      <c r="J6" s="3" t="s">
        <v>21</v>
      </c>
      <c r="K6" s="3" t="s">
        <v>21</v>
      </c>
      <c r="L6" s="3" t="s">
        <v>21</v>
      </c>
      <c r="M6" s="3" t="s">
        <v>21</v>
      </c>
      <c r="N6" s="3" t="s">
        <v>21</v>
      </c>
      <c r="O6" s="4" t="s">
        <v>21</v>
      </c>
      <c r="P6" s="3" t="s">
        <v>21</v>
      </c>
      <c r="Q6" s="3" t="s">
        <v>21</v>
      </c>
      <c r="R6" s="3" t="s">
        <v>21</v>
      </c>
      <c r="S6" s="3" t="s">
        <v>21</v>
      </c>
    </row>
    <row r="7" spans="1:30" x14ac:dyDescent="0.2">
      <c r="A7" s="2" t="s">
        <v>23</v>
      </c>
      <c r="B7" s="3" t="s">
        <v>21</v>
      </c>
      <c r="C7" s="3" t="s">
        <v>21</v>
      </c>
      <c r="D7" s="3" t="s">
        <v>21</v>
      </c>
      <c r="E7" s="3" t="s">
        <v>21</v>
      </c>
      <c r="F7" s="3" t="s">
        <v>21</v>
      </c>
      <c r="G7" s="3" t="s">
        <v>21</v>
      </c>
      <c r="H7" s="3" t="s">
        <v>21</v>
      </c>
      <c r="I7" s="3" t="s">
        <v>21</v>
      </c>
      <c r="J7" s="3" t="s">
        <v>21</v>
      </c>
      <c r="K7" s="3" t="s">
        <v>21</v>
      </c>
      <c r="L7" s="3" t="s">
        <v>21</v>
      </c>
      <c r="M7" s="3" t="s">
        <v>21</v>
      </c>
      <c r="N7" s="3" t="s">
        <v>21</v>
      </c>
      <c r="O7" s="4" t="s">
        <v>21</v>
      </c>
      <c r="P7" s="3" t="s">
        <v>21</v>
      </c>
      <c r="Q7" s="3" t="s">
        <v>21</v>
      </c>
      <c r="R7" s="3" t="s">
        <v>21</v>
      </c>
      <c r="S7" s="3" t="s">
        <v>21</v>
      </c>
    </row>
    <row r="8" spans="1:30" x14ac:dyDescent="0.2">
      <c r="A8" s="2" t="s">
        <v>58</v>
      </c>
      <c r="B8" s="3">
        <v>100</v>
      </c>
      <c r="C8" s="3">
        <v>100</v>
      </c>
      <c r="D8" s="3">
        <v>100</v>
      </c>
      <c r="E8" s="3">
        <v>100</v>
      </c>
      <c r="F8" s="3">
        <v>100</v>
      </c>
      <c r="G8" s="3">
        <v>100</v>
      </c>
      <c r="H8" s="3">
        <v>100</v>
      </c>
      <c r="I8" s="3">
        <v>100</v>
      </c>
      <c r="J8" s="3">
        <v>100</v>
      </c>
      <c r="K8" s="3">
        <v>100</v>
      </c>
      <c r="L8" s="3">
        <v>100</v>
      </c>
      <c r="M8" s="3">
        <v>100</v>
      </c>
      <c r="N8" s="3">
        <v>100</v>
      </c>
      <c r="O8" s="4">
        <v>100</v>
      </c>
      <c r="P8" s="3">
        <v>100</v>
      </c>
      <c r="Q8" s="3">
        <v>100</v>
      </c>
      <c r="R8" s="3">
        <v>100</v>
      </c>
      <c r="S8" s="3">
        <v>100</v>
      </c>
    </row>
    <row r="9" spans="1:30"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x14ac:dyDescent="0.2">
      <c r="A10" s="2" t="s">
        <v>25</v>
      </c>
      <c r="B10" s="3" t="s">
        <v>21</v>
      </c>
      <c r="C10" s="3" t="s">
        <v>21</v>
      </c>
      <c r="D10" s="3" t="s">
        <v>21</v>
      </c>
      <c r="E10" s="3" t="s">
        <v>21</v>
      </c>
      <c r="F10" s="3" t="s">
        <v>21</v>
      </c>
      <c r="G10" s="3" t="s">
        <v>21</v>
      </c>
      <c r="H10" s="3" t="s">
        <v>21</v>
      </c>
      <c r="I10" s="3" t="s">
        <v>21</v>
      </c>
      <c r="J10" s="3" t="s">
        <v>21</v>
      </c>
      <c r="K10" s="3" t="s">
        <v>21</v>
      </c>
      <c r="L10" s="3" t="s">
        <v>21</v>
      </c>
      <c r="M10" s="3" t="s">
        <v>21</v>
      </c>
      <c r="N10" s="3" t="s">
        <v>21</v>
      </c>
      <c r="O10" s="4" t="s">
        <v>21</v>
      </c>
      <c r="P10" s="3" t="s">
        <v>21</v>
      </c>
      <c r="Q10" s="3" t="s">
        <v>21</v>
      </c>
      <c r="R10" s="3" t="s">
        <v>21</v>
      </c>
      <c r="S10" s="3" t="s">
        <v>21</v>
      </c>
    </row>
    <row r="11" spans="1:30" x14ac:dyDescent="0.2">
      <c r="A11" s="2" t="s">
        <v>26</v>
      </c>
      <c r="B11" s="3" t="s">
        <v>21</v>
      </c>
      <c r="C11" s="3" t="s">
        <v>21</v>
      </c>
      <c r="D11" s="3" t="s">
        <v>21</v>
      </c>
      <c r="E11" s="3" t="s">
        <v>21</v>
      </c>
      <c r="F11" s="3">
        <v>49944000</v>
      </c>
      <c r="G11" s="3">
        <v>49745000</v>
      </c>
      <c r="H11" s="3">
        <v>81746000</v>
      </c>
      <c r="I11" s="3">
        <v>83752000</v>
      </c>
      <c r="J11" s="3">
        <v>78994000</v>
      </c>
      <c r="K11" s="3">
        <v>80111000</v>
      </c>
      <c r="L11" s="3">
        <v>81988000</v>
      </c>
      <c r="M11" s="3">
        <v>79157000</v>
      </c>
      <c r="N11" s="3">
        <v>95482000</v>
      </c>
      <c r="O11" s="4">
        <v>86530000</v>
      </c>
      <c r="P11" s="3">
        <v>17710000</v>
      </c>
      <c r="Q11" s="3">
        <v>17820000</v>
      </c>
      <c r="R11" s="3">
        <v>30000000</v>
      </c>
      <c r="S11" s="3">
        <v>21000000</v>
      </c>
    </row>
    <row r="12" spans="1:30" ht="19" x14ac:dyDescent="0.25">
      <c r="A12" s="14" t="s">
        <v>192</v>
      </c>
      <c r="B12" s="11" t="e">
        <f t="shared" ref="B12:S12" si="1">B11/B2</f>
        <v>#VALUE!</v>
      </c>
      <c r="C12" s="11" t="e">
        <f t="shared" si="1"/>
        <v>#VALUE!</v>
      </c>
      <c r="D12" s="11" t="e">
        <f t="shared" si="1"/>
        <v>#VALUE!</v>
      </c>
      <c r="E12" s="11" t="e">
        <f t="shared" si="1"/>
        <v>#VALUE!</v>
      </c>
      <c r="F12" s="11">
        <f t="shared" si="1"/>
        <v>1.2323532706563027E-2</v>
      </c>
      <c r="G12" s="11">
        <f t="shared" si="1"/>
        <v>1.2507376322300845E-2</v>
      </c>
      <c r="H12" s="11">
        <f t="shared" si="1"/>
        <v>1.8362740614214872E-2</v>
      </c>
      <c r="I12" s="11">
        <f t="shared" si="1"/>
        <v>1.5598288568711009E-2</v>
      </c>
      <c r="J12" s="11">
        <f t="shared" si="1"/>
        <v>1.4429896339807124E-2</v>
      </c>
      <c r="K12" s="11">
        <f t="shared" si="1"/>
        <v>1.1808955855752406E-2</v>
      </c>
      <c r="L12" s="11">
        <f t="shared" si="1"/>
        <v>9.8840884837373306E-3</v>
      </c>
      <c r="M12" s="11">
        <f t="shared" si="1"/>
        <v>8.8690253237300124E-3</v>
      </c>
      <c r="N12" s="11">
        <f t="shared" si="1"/>
        <v>9.9461898234525781E-3</v>
      </c>
      <c r="O12" s="11">
        <f t="shared" si="1"/>
        <v>7.4364496380134324E-3</v>
      </c>
      <c r="P12" s="11">
        <f t="shared" si="1"/>
        <v>7.0964357940855559E-3</v>
      </c>
      <c r="Q12" s="11">
        <f t="shared" si="1"/>
        <v>6.0400432496924049E-3</v>
      </c>
      <c r="R12" s="11">
        <f t="shared" si="1"/>
        <v>9.6711798839458421E-3</v>
      </c>
      <c r="S12" s="11">
        <f t="shared" si="1"/>
        <v>6.8005181347150258E-3</v>
      </c>
      <c r="T12" s="12"/>
      <c r="U12" s="12"/>
      <c r="V12" s="12"/>
      <c r="W12" s="12"/>
      <c r="X12" s="12"/>
      <c r="Y12" s="12"/>
      <c r="Z12" s="12"/>
      <c r="AA12" s="13"/>
      <c r="AB12" s="13"/>
      <c r="AC12" s="13"/>
      <c r="AD12" s="13"/>
    </row>
    <row r="13" spans="1:30"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x14ac:dyDescent="0.2">
      <c r="A15" s="2" t="s">
        <v>28</v>
      </c>
      <c r="B15" s="3" t="s">
        <v>21</v>
      </c>
      <c r="C15" s="3" t="s">
        <v>21</v>
      </c>
      <c r="D15" s="3" t="s">
        <v>21</v>
      </c>
      <c r="E15" s="3" t="s">
        <v>21</v>
      </c>
      <c r="F15" s="3">
        <v>-49944000</v>
      </c>
      <c r="G15" s="3">
        <v>-49745000</v>
      </c>
      <c r="H15" s="3">
        <v>-81746000</v>
      </c>
      <c r="I15" s="3">
        <v>-83752000</v>
      </c>
      <c r="J15" s="3">
        <v>-78994000</v>
      </c>
      <c r="K15" s="3">
        <v>-80111000</v>
      </c>
      <c r="L15" s="3">
        <v>-81988000</v>
      </c>
      <c r="M15" s="3">
        <v>-79157000</v>
      </c>
      <c r="N15" s="3">
        <v>-95482000</v>
      </c>
      <c r="O15" s="4">
        <v>-86530000</v>
      </c>
      <c r="P15" s="3">
        <v>-17710000</v>
      </c>
      <c r="Q15" s="3">
        <v>-17820000</v>
      </c>
      <c r="R15" s="3">
        <v>-30000000</v>
      </c>
      <c r="S15" s="3">
        <v>-21000000</v>
      </c>
    </row>
    <row r="16" spans="1:30" x14ac:dyDescent="0.2">
      <c r="A16" s="2" t="s">
        <v>29</v>
      </c>
      <c r="B16" s="3">
        <v>0</v>
      </c>
      <c r="C16" s="3">
        <v>0</v>
      </c>
      <c r="D16" s="3">
        <v>0</v>
      </c>
      <c r="E16" s="3">
        <v>0</v>
      </c>
      <c r="F16" s="3">
        <v>0</v>
      </c>
      <c r="G16" s="3">
        <v>0</v>
      </c>
      <c r="H16" s="3">
        <v>0</v>
      </c>
      <c r="I16" s="3">
        <v>0</v>
      </c>
      <c r="J16" s="3">
        <v>0</v>
      </c>
      <c r="K16" s="3">
        <v>0</v>
      </c>
      <c r="L16" s="3">
        <v>0</v>
      </c>
      <c r="M16" s="3">
        <v>0</v>
      </c>
      <c r="N16" s="3">
        <v>0</v>
      </c>
      <c r="O16" s="3">
        <v>0</v>
      </c>
      <c r="P16" s="3">
        <v>0</v>
      </c>
      <c r="Q16" s="3">
        <v>0</v>
      </c>
      <c r="R16" s="3">
        <v>0</v>
      </c>
      <c r="S16" s="3">
        <v>0</v>
      </c>
    </row>
    <row r="17" spans="1:30" x14ac:dyDescent="0.2">
      <c r="A17" s="2" t="s">
        <v>59</v>
      </c>
      <c r="B17" s="3">
        <v>0</v>
      </c>
      <c r="C17" s="3">
        <v>0</v>
      </c>
      <c r="D17" s="3">
        <v>0</v>
      </c>
      <c r="E17" s="3">
        <v>0</v>
      </c>
      <c r="F17" s="3">
        <v>0</v>
      </c>
      <c r="G17" s="3">
        <v>0</v>
      </c>
      <c r="H17" s="3">
        <v>0</v>
      </c>
      <c r="I17" s="3">
        <v>0</v>
      </c>
      <c r="J17" s="3">
        <v>0</v>
      </c>
      <c r="K17" s="3">
        <v>0</v>
      </c>
      <c r="L17" s="3">
        <v>0</v>
      </c>
      <c r="M17" s="3">
        <v>0</v>
      </c>
      <c r="N17" s="3">
        <v>0</v>
      </c>
      <c r="O17" s="3">
        <v>0</v>
      </c>
      <c r="P17" s="3">
        <v>0</v>
      </c>
      <c r="Q17" s="3">
        <v>0</v>
      </c>
      <c r="R17" s="3">
        <v>0</v>
      </c>
      <c r="S17" s="3">
        <v>0</v>
      </c>
    </row>
    <row r="18" spans="1:30" ht="19" x14ac:dyDescent="0.25">
      <c r="A18" s="15" t="s">
        <v>194</v>
      </c>
      <c r="B18" s="10"/>
      <c r="C18" s="11" t="e">
        <f>(C16/B16)-1</f>
        <v>#DIV/0!</v>
      </c>
      <c r="D18" s="11" t="e">
        <f>(D16/C16)-1</f>
        <v>#DIV/0!</v>
      </c>
      <c r="E18" s="11" t="e">
        <f>(E16/D16)-1</f>
        <v>#DIV/0!</v>
      </c>
      <c r="F18" s="11" t="e">
        <f t="shared" ref="F18:N18" si="3">(F16/E16)-1</f>
        <v>#DIV/0!</v>
      </c>
      <c r="G18" s="11" t="e">
        <f t="shared" si="3"/>
        <v>#DIV/0!</v>
      </c>
      <c r="H18" s="11" t="e">
        <f t="shared" si="3"/>
        <v>#DIV/0!</v>
      </c>
      <c r="I18" s="11" t="e">
        <f t="shared" si="3"/>
        <v>#DIV/0!</v>
      </c>
      <c r="J18" s="11" t="e">
        <f t="shared" si="3"/>
        <v>#DIV/0!</v>
      </c>
      <c r="K18" s="11" t="e">
        <f t="shared" si="3"/>
        <v>#DIV/0!</v>
      </c>
      <c r="L18" s="11" t="e">
        <f t="shared" si="3"/>
        <v>#DIV/0!</v>
      </c>
      <c r="M18" s="11" t="e">
        <f t="shared" si="3"/>
        <v>#DIV/0!</v>
      </c>
      <c r="N18" s="11" t="e">
        <f t="shared" si="3"/>
        <v>#DIV/0!</v>
      </c>
      <c r="O18" s="11" t="e">
        <f>(O16/N16)-1</f>
        <v>#DIV/0!</v>
      </c>
      <c r="P18" s="11"/>
      <c r="Q18" s="11" t="e">
        <f>(Q16/P16)-1</f>
        <v>#DIV/0!</v>
      </c>
      <c r="R18" s="11" t="e">
        <f>(R16/Q16)-1</f>
        <v>#DIV/0!</v>
      </c>
      <c r="S18" s="11" t="e">
        <f>(S16/R16)-1</f>
        <v>#DIV/0!</v>
      </c>
      <c r="T18" s="12"/>
      <c r="U18" s="12"/>
      <c r="V18" s="12"/>
      <c r="W18" s="12"/>
      <c r="X18" s="12"/>
      <c r="Y18" s="12"/>
      <c r="Z18" s="12"/>
      <c r="AA18" s="13"/>
      <c r="AB18" s="13"/>
      <c r="AC18" s="13"/>
      <c r="AD18" s="13"/>
    </row>
    <row r="19" spans="1:30" x14ac:dyDescent="0.2">
      <c r="A19" s="2" t="s">
        <v>30</v>
      </c>
      <c r="B19" s="3">
        <v>-850456000</v>
      </c>
      <c r="C19" s="3">
        <v>-427012000</v>
      </c>
      <c r="D19" s="3">
        <v>-589387000</v>
      </c>
      <c r="E19" s="3">
        <v>-742505000</v>
      </c>
      <c r="F19" s="3">
        <v>-844247000</v>
      </c>
      <c r="G19" s="3">
        <v>-567194000</v>
      </c>
      <c r="H19" s="3">
        <v>-855552000</v>
      </c>
      <c r="I19" s="3">
        <v>-757277000</v>
      </c>
      <c r="J19" s="3">
        <v>-841772000</v>
      </c>
      <c r="K19" s="3">
        <v>-1849110000</v>
      </c>
      <c r="L19" s="3">
        <v>-1577549000</v>
      </c>
      <c r="M19" s="3">
        <v>-2103351000</v>
      </c>
      <c r="N19" s="3">
        <v>-1488493000</v>
      </c>
      <c r="O19" s="4">
        <v>-2338332000</v>
      </c>
      <c r="P19" s="3">
        <v>5149000</v>
      </c>
      <c r="Q19" s="3">
        <v>-887481000</v>
      </c>
      <c r="R19" s="3">
        <v>-742000000</v>
      </c>
      <c r="S19" s="3">
        <v>-714000000</v>
      </c>
    </row>
    <row r="20" spans="1:30" x14ac:dyDescent="0.2">
      <c r="A20" s="2" t="s">
        <v>31</v>
      </c>
      <c r="B20" s="3">
        <v>30007000</v>
      </c>
      <c r="C20" s="3">
        <v>31691000</v>
      </c>
      <c r="D20" s="3">
        <v>28525000</v>
      </c>
      <c r="E20" s="3">
        <v>27060000</v>
      </c>
      <c r="F20" s="3">
        <v>45634000</v>
      </c>
      <c r="G20" s="3">
        <v>45874000</v>
      </c>
      <c r="H20" s="3">
        <v>66252000</v>
      </c>
      <c r="I20" s="3">
        <v>117431000</v>
      </c>
      <c r="J20" s="3">
        <v>120484000</v>
      </c>
      <c r="K20" s="3">
        <v>120872000</v>
      </c>
      <c r="L20" s="3">
        <v>143456000</v>
      </c>
      <c r="M20" s="3">
        <v>139470000</v>
      </c>
      <c r="N20" s="3">
        <v>107769000</v>
      </c>
      <c r="O20" s="4">
        <v>119625000</v>
      </c>
      <c r="P20" s="3">
        <v>28802000</v>
      </c>
      <c r="Q20" s="3">
        <v>25823000</v>
      </c>
      <c r="R20" s="3">
        <v>32000000</v>
      </c>
      <c r="S20" s="3">
        <v>33000000</v>
      </c>
    </row>
    <row r="21" spans="1:30" x14ac:dyDescent="0.2">
      <c r="A21" s="2" t="s">
        <v>32</v>
      </c>
      <c r="B21" s="3">
        <v>30007000</v>
      </c>
      <c r="C21" s="3">
        <v>31691000</v>
      </c>
      <c r="D21" s="3">
        <v>28525000</v>
      </c>
      <c r="E21" s="3">
        <v>27060000</v>
      </c>
      <c r="F21" s="3">
        <v>45634000</v>
      </c>
      <c r="G21" s="3">
        <v>45874000</v>
      </c>
      <c r="H21" s="3">
        <v>66252000</v>
      </c>
      <c r="I21" s="3">
        <v>117431000</v>
      </c>
      <c r="J21" s="3">
        <v>120484000</v>
      </c>
      <c r="K21" s="3">
        <v>120872000</v>
      </c>
      <c r="L21" s="3">
        <v>143456000</v>
      </c>
      <c r="M21" s="3">
        <v>139470000</v>
      </c>
      <c r="N21" s="3">
        <v>130266000</v>
      </c>
      <c r="O21" s="4">
        <v>129763000</v>
      </c>
      <c r="P21" s="3">
        <v>33063000</v>
      </c>
      <c r="Q21" s="3">
        <v>31700000</v>
      </c>
      <c r="R21" s="3">
        <v>32000000</v>
      </c>
      <c r="S21" s="3">
        <v>33000000</v>
      </c>
    </row>
    <row r="22" spans="1:30" x14ac:dyDescent="0.2">
      <c r="A22" s="2" t="s">
        <v>33</v>
      </c>
      <c r="B22" s="3" t="s">
        <v>21</v>
      </c>
      <c r="C22" s="3" t="s">
        <v>21</v>
      </c>
      <c r="D22" s="3" t="s">
        <v>21</v>
      </c>
      <c r="E22" s="3" t="s">
        <v>21</v>
      </c>
      <c r="F22" s="3" t="s">
        <v>21</v>
      </c>
      <c r="G22" s="3" t="s">
        <v>21</v>
      </c>
      <c r="H22" s="3" t="s">
        <v>21</v>
      </c>
      <c r="I22" s="3" t="s">
        <v>21</v>
      </c>
      <c r="J22" s="3" t="s">
        <v>21</v>
      </c>
      <c r="K22" s="3" t="s">
        <v>21</v>
      </c>
      <c r="L22" s="3" t="s">
        <v>21</v>
      </c>
      <c r="M22" s="3" t="s">
        <v>21</v>
      </c>
      <c r="N22" s="3">
        <v>22497000</v>
      </c>
      <c r="O22" s="4">
        <v>10138000</v>
      </c>
      <c r="P22" s="3">
        <v>4261000</v>
      </c>
      <c r="Q22" s="3">
        <v>5877000</v>
      </c>
      <c r="R22" s="3" t="s">
        <v>21</v>
      </c>
      <c r="S22" s="3" t="s">
        <v>21</v>
      </c>
    </row>
    <row r="23" spans="1:30" x14ac:dyDescent="0.2">
      <c r="A23" s="2" t="s">
        <v>34</v>
      </c>
      <c r="B23" s="3">
        <v>-880463000</v>
      </c>
      <c r="C23" s="3">
        <v>-458703000</v>
      </c>
      <c r="D23" s="3">
        <v>-617912000</v>
      </c>
      <c r="E23" s="3">
        <v>-769565000</v>
      </c>
      <c r="F23" s="3">
        <v>-889881000</v>
      </c>
      <c r="G23" s="3">
        <v>-613068000</v>
      </c>
      <c r="H23" s="3">
        <v>-921804000</v>
      </c>
      <c r="I23" s="3">
        <v>-874708000</v>
      </c>
      <c r="J23" s="3">
        <v>-962256000</v>
      </c>
      <c r="K23" s="3">
        <v>-1969982000</v>
      </c>
      <c r="L23" s="3">
        <v>-1721005000</v>
      </c>
      <c r="M23" s="3">
        <v>-2242821000</v>
      </c>
      <c r="N23" s="3">
        <v>-1596262000</v>
      </c>
      <c r="O23" s="4">
        <v>-2457957000</v>
      </c>
      <c r="P23" s="3">
        <v>-23653000</v>
      </c>
      <c r="Q23" s="3">
        <v>-913304000</v>
      </c>
      <c r="R23" s="3">
        <v>-774000000</v>
      </c>
      <c r="S23" s="3">
        <v>-747000000</v>
      </c>
    </row>
    <row r="24" spans="1:30" x14ac:dyDescent="0.2">
      <c r="A24" s="2" t="s">
        <v>35</v>
      </c>
      <c r="B24" s="3">
        <v>850456000</v>
      </c>
      <c r="C24" s="3">
        <v>427012000</v>
      </c>
      <c r="D24" s="3">
        <v>589387000</v>
      </c>
      <c r="E24" s="3">
        <v>742505000</v>
      </c>
      <c r="F24" s="3">
        <v>844247000</v>
      </c>
      <c r="G24" s="3">
        <v>567194000</v>
      </c>
      <c r="H24" s="3">
        <v>855552000</v>
      </c>
      <c r="I24" s="3">
        <v>757277000</v>
      </c>
      <c r="J24" s="3">
        <v>841772000</v>
      </c>
      <c r="K24" s="3">
        <v>1849110000</v>
      </c>
      <c r="L24" s="3">
        <v>1577549000</v>
      </c>
      <c r="M24" s="3">
        <v>2103351000</v>
      </c>
      <c r="N24" s="3">
        <v>1488493000</v>
      </c>
      <c r="O24" s="4">
        <v>2338332000</v>
      </c>
      <c r="P24" s="3">
        <v>-5149000</v>
      </c>
      <c r="Q24" s="3">
        <v>887481000</v>
      </c>
      <c r="R24" s="3">
        <v>742000000</v>
      </c>
      <c r="S24" s="3">
        <v>714000000</v>
      </c>
    </row>
    <row r="25" spans="1:30" x14ac:dyDescent="0.2">
      <c r="A25" s="2" t="s">
        <v>36</v>
      </c>
      <c r="B25" s="3">
        <v>7868000</v>
      </c>
      <c r="C25" s="3">
        <v>-9346000</v>
      </c>
      <c r="D25" s="3">
        <v>-4010000</v>
      </c>
      <c r="E25" s="3">
        <v>32774000</v>
      </c>
      <c r="F25" s="3">
        <v>22987000</v>
      </c>
      <c r="G25" s="3">
        <v>40612000</v>
      </c>
      <c r="H25" s="3">
        <v>31374000</v>
      </c>
      <c r="I25" s="3">
        <v>127568000</v>
      </c>
      <c r="J25" s="3">
        <v>113951000</v>
      </c>
      <c r="K25" s="3">
        <v>155810000</v>
      </c>
      <c r="L25" s="3">
        <v>111838000</v>
      </c>
      <c r="M25" s="3">
        <v>128582000</v>
      </c>
      <c r="N25" s="3">
        <v>79961000</v>
      </c>
      <c r="O25" s="4">
        <v>177019000</v>
      </c>
      <c r="P25" s="3">
        <v>-14900000</v>
      </c>
      <c r="Q25" s="3">
        <v>60919000</v>
      </c>
      <c r="R25" s="3">
        <v>64000000</v>
      </c>
      <c r="S25" s="3">
        <v>67000000</v>
      </c>
    </row>
    <row r="26" spans="1:30"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x14ac:dyDescent="0.2">
      <c r="A27" s="2" t="s">
        <v>38</v>
      </c>
      <c r="B27" s="3">
        <v>842588000</v>
      </c>
      <c r="C27" s="3">
        <v>436358000</v>
      </c>
      <c r="D27" s="3">
        <v>593397000</v>
      </c>
      <c r="E27" s="3">
        <v>709731000</v>
      </c>
      <c r="F27" s="3">
        <v>821260000</v>
      </c>
      <c r="G27" s="3">
        <v>526582000</v>
      </c>
      <c r="H27" s="3">
        <v>824178000</v>
      </c>
      <c r="I27" s="3">
        <v>629709000</v>
      </c>
      <c r="J27" s="3">
        <v>727821000</v>
      </c>
      <c r="K27" s="3">
        <v>1693300000</v>
      </c>
      <c r="L27" s="3">
        <v>1465711000</v>
      </c>
      <c r="M27" s="3">
        <v>2239462000</v>
      </c>
      <c r="N27" s="3">
        <v>1482423000</v>
      </c>
      <c r="O27" s="4">
        <v>2267046000</v>
      </c>
      <c r="P27" s="3">
        <v>18258000</v>
      </c>
      <c r="Q27" s="3">
        <v>862788000</v>
      </c>
      <c r="R27" s="3">
        <v>717000000</v>
      </c>
      <c r="S27" s="3">
        <v>669000000</v>
      </c>
    </row>
    <row r="28" spans="1:30" x14ac:dyDescent="0.2">
      <c r="A28" s="2" t="s">
        <v>39</v>
      </c>
      <c r="B28" s="3" t="s">
        <v>21</v>
      </c>
      <c r="C28" s="3" t="s">
        <v>21</v>
      </c>
      <c r="D28" s="3" t="s">
        <v>21</v>
      </c>
      <c r="E28" s="3" t="s">
        <v>21</v>
      </c>
      <c r="F28" s="3">
        <v>-26190000</v>
      </c>
      <c r="G28" s="3">
        <v>-22312000</v>
      </c>
      <c r="H28" s="3">
        <v>262880000</v>
      </c>
      <c r="I28" s="3">
        <v>20862000</v>
      </c>
      <c r="J28" s="3">
        <v>-60300000</v>
      </c>
      <c r="K28" s="3">
        <v>113962000</v>
      </c>
      <c r="L28" s="3">
        <v>120380000</v>
      </c>
      <c r="M28" s="3">
        <v>165226000</v>
      </c>
      <c r="N28" s="3">
        <v>10980000</v>
      </c>
      <c r="O28" s="4">
        <v>8514000</v>
      </c>
      <c r="P28" s="3">
        <v>2314000</v>
      </c>
      <c r="Q28" s="3">
        <v>6200000</v>
      </c>
      <c r="R28" s="3">
        <v>4000000</v>
      </c>
      <c r="S28" s="3">
        <v>-4000000</v>
      </c>
    </row>
    <row r="29" spans="1:30"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x14ac:dyDescent="0.2">
      <c r="A30" s="2" t="s">
        <v>41</v>
      </c>
      <c r="B30" s="3" t="s">
        <v>21</v>
      </c>
      <c r="C30" s="3" t="s">
        <v>21</v>
      </c>
      <c r="D30" s="3" t="s">
        <v>21</v>
      </c>
      <c r="E30" s="3" t="s">
        <v>21</v>
      </c>
      <c r="F30" s="3">
        <v>-26190000</v>
      </c>
      <c r="G30" s="3">
        <v>-22312000</v>
      </c>
      <c r="H30" s="3">
        <v>262880000</v>
      </c>
      <c r="I30" s="3">
        <v>20862000</v>
      </c>
      <c r="J30" s="3">
        <v>-60300000</v>
      </c>
      <c r="K30" s="3">
        <v>113962000</v>
      </c>
      <c r="L30" s="3">
        <v>120380000</v>
      </c>
      <c r="M30" s="3">
        <v>165226000</v>
      </c>
      <c r="N30" s="3">
        <v>10980000</v>
      </c>
      <c r="O30" s="4">
        <v>8514000</v>
      </c>
      <c r="P30" s="3">
        <v>2314000</v>
      </c>
      <c r="Q30" s="3">
        <v>6200000</v>
      </c>
      <c r="R30" s="3">
        <v>4000000</v>
      </c>
      <c r="S30" s="3">
        <v>-4000000</v>
      </c>
    </row>
    <row r="31" spans="1:30" x14ac:dyDescent="0.2">
      <c r="A31" s="2" t="s">
        <v>42</v>
      </c>
      <c r="B31" s="3">
        <v>842588000</v>
      </c>
      <c r="C31" s="3">
        <v>436358000</v>
      </c>
      <c r="D31" s="3">
        <v>593397000</v>
      </c>
      <c r="E31" s="3">
        <v>709731000</v>
      </c>
      <c r="F31" s="3">
        <v>847450000</v>
      </c>
      <c r="G31" s="3">
        <v>548894000</v>
      </c>
      <c r="H31" s="3">
        <v>561298000</v>
      </c>
      <c r="I31" s="3">
        <v>608847000</v>
      </c>
      <c r="J31" s="3">
        <v>788121000</v>
      </c>
      <c r="K31" s="3">
        <v>1579338000</v>
      </c>
      <c r="L31" s="3">
        <v>1345331000</v>
      </c>
      <c r="M31" s="3">
        <v>2074236000</v>
      </c>
      <c r="N31" s="3">
        <v>1471443000</v>
      </c>
      <c r="O31" s="4">
        <v>2258532000</v>
      </c>
      <c r="P31" s="3">
        <v>15944000</v>
      </c>
      <c r="Q31" s="3">
        <v>856588000</v>
      </c>
      <c r="R31" s="3">
        <v>713000000</v>
      </c>
      <c r="S31" s="3">
        <v>673000000</v>
      </c>
    </row>
    <row r="32" spans="1:30" x14ac:dyDescent="0.2">
      <c r="A32" s="2" t="s">
        <v>43</v>
      </c>
      <c r="B32" s="3" t="s">
        <v>21</v>
      </c>
      <c r="C32" s="3" t="s">
        <v>21</v>
      </c>
      <c r="D32" s="3" t="s">
        <v>21</v>
      </c>
      <c r="E32" s="3" t="s">
        <v>21</v>
      </c>
      <c r="F32" s="3">
        <v>13095000</v>
      </c>
      <c r="G32" s="3">
        <v>11156000</v>
      </c>
      <c r="H32" s="3">
        <v>-131440000</v>
      </c>
      <c r="I32" s="3">
        <v>-10431000</v>
      </c>
      <c r="J32" s="3">
        <v>30150000</v>
      </c>
      <c r="K32" s="3">
        <v>-56981000</v>
      </c>
      <c r="L32" s="3">
        <v>-60190000</v>
      </c>
      <c r="M32" s="3">
        <v>-82613000</v>
      </c>
      <c r="N32" s="3">
        <v>-5490000</v>
      </c>
      <c r="O32" s="4">
        <v>-4257000</v>
      </c>
      <c r="P32" s="3">
        <v>-1157000</v>
      </c>
      <c r="Q32" s="3">
        <v>-3100000</v>
      </c>
      <c r="R32" s="3">
        <v>-2000000</v>
      </c>
      <c r="S32" s="3">
        <v>2000000</v>
      </c>
    </row>
    <row r="33" spans="1:30" x14ac:dyDescent="0.2">
      <c r="A33" s="32" t="s">
        <v>44</v>
      </c>
      <c r="B33" s="30">
        <v>842588000</v>
      </c>
      <c r="C33" s="30">
        <v>436358000</v>
      </c>
      <c r="D33" s="30">
        <v>593397000</v>
      </c>
      <c r="E33" s="30">
        <v>709731000</v>
      </c>
      <c r="F33" s="30">
        <v>834355000</v>
      </c>
      <c r="G33" s="30">
        <v>537738000</v>
      </c>
      <c r="H33" s="30">
        <v>692738000</v>
      </c>
      <c r="I33" s="30">
        <v>619278000</v>
      </c>
      <c r="J33" s="30">
        <v>757971000</v>
      </c>
      <c r="K33" s="30">
        <v>1636319000</v>
      </c>
      <c r="L33" s="30">
        <v>1405521000</v>
      </c>
      <c r="M33" s="30">
        <v>2156849000</v>
      </c>
      <c r="N33" s="30">
        <v>1476933000</v>
      </c>
      <c r="O33" s="31">
        <v>2262789000</v>
      </c>
      <c r="P33" s="30">
        <v>17101000</v>
      </c>
      <c r="Q33" s="30">
        <v>859688000</v>
      </c>
      <c r="R33" s="30">
        <v>715000000</v>
      </c>
      <c r="S33" s="30">
        <v>671000000</v>
      </c>
    </row>
    <row r="34" spans="1:30" x14ac:dyDescent="0.2">
      <c r="A34" s="25" t="s">
        <v>60</v>
      </c>
      <c r="B34" s="33">
        <v>25.97</v>
      </c>
      <c r="C34" s="33">
        <v>13.96</v>
      </c>
      <c r="D34" s="33">
        <v>17.55</v>
      </c>
      <c r="E34" s="33">
        <v>20.41</v>
      </c>
      <c r="F34" s="33">
        <v>20.59</v>
      </c>
      <c r="G34" s="33">
        <v>13.52</v>
      </c>
      <c r="H34" s="33">
        <v>15.56</v>
      </c>
      <c r="I34" s="33">
        <v>11.53</v>
      </c>
      <c r="J34" s="33">
        <v>13.85</v>
      </c>
      <c r="K34" s="33">
        <v>24.12</v>
      </c>
      <c r="L34" s="33">
        <v>16.940000000000001</v>
      </c>
      <c r="M34" s="33">
        <v>24.17</v>
      </c>
      <c r="N34" s="33">
        <v>15.38</v>
      </c>
      <c r="O34" s="34">
        <v>19.45</v>
      </c>
      <c r="P34" s="33">
        <v>0.69</v>
      </c>
      <c r="Q34" s="33">
        <v>29.14</v>
      </c>
      <c r="R34" s="33">
        <v>23.05</v>
      </c>
      <c r="S34" s="33">
        <v>21.73</v>
      </c>
    </row>
    <row r="35" spans="1:30" ht="19" x14ac:dyDescent="0.25">
      <c r="A35" s="16" t="s">
        <v>195</v>
      </c>
      <c r="B35" s="17"/>
      <c r="C35" s="18">
        <f>(C33/B33)-1</f>
        <v>-0.48212174870755342</v>
      </c>
      <c r="D35" s="18">
        <f>(D33/C33)-1</f>
        <v>0.35988569019016503</v>
      </c>
      <c r="E35" s="18">
        <f>(E33/D33)-1</f>
        <v>0.19604750276796135</v>
      </c>
      <c r="F35" s="18">
        <f t="shared" ref="F35:N35" si="4">(F33/E33)-1</f>
        <v>0.17559328816128938</v>
      </c>
      <c r="G35" s="18">
        <f t="shared" si="4"/>
        <v>-0.35550455141995918</v>
      </c>
      <c r="H35" s="18">
        <f t="shared" si="4"/>
        <v>0.28824446105724344</v>
      </c>
      <c r="I35" s="18">
        <f t="shared" si="4"/>
        <v>-0.10604297728722833</v>
      </c>
      <c r="J35" s="18">
        <f t="shared" si="4"/>
        <v>0.22395919118715657</v>
      </c>
      <c r="K35" s="18">
        <f t="shared" si="4"/>
        <v>1.1588147831513345</v>
      </c>
      <c r="L35" s="18">
        <f t="shared" si="4"/>
        <v>-0.14104706967284497</v>
      </c>
      <c r="M35" s="18">
        <f t="shared" si="4"/>
        <v>0.53455480209829664</v>
      </c>
      <c r="N35" s="18">
        <f t="shared" si="4"/>
        <v>-0.31523579072990271</v>
      </c>
      <c r="O35" s="18">
        <f>(O33/N33)-1</f>
        <v>0.53208642504433179</v>
      </c>
      <c r="P35" s="18"/>
      <c r="Q35" s="18">
        <f>(Q33/P33)-1</f>
        <v>49.27121220981229</v>
      </c>
      <c r="R35" s="18">
        <f>(R33/Q33)-1</f>
        <v>-0.16830291919859297</v>
      </c>
      <c r="S35" s="18">
        <f>(S33/R33)-1</f>
        <v>-6.1538461538461542E-2</v>
      </c>
      <c r="T35" s="12"/>
      <c r="U35" s="12"/>
      <c r="V35" s="12"/>
      <c r="W35" s="12"/>
      <c r="X35" s="12"/>
      <c r="Y35" s="12"/>
      <c r="Z35" s="12"/>
      <c r="AA35" s="13"/>
      <c r="AB35" s="13"/>
      <c r="AC35" s="13"/>
      <c r="AD35" s="13"/>
    </row>
    <row r="36" spans="1:30" ht="19" customHeight="1" x14ac:dyDescent="0.2">
      <c r="A36" s="19" t="s">
        <v>196</v>
      </c>
      <c r="B36" s="20" t="e">
        <f t="shared" ref="B36:R36" si="5">(B46*(1-0.25))/(B126+B105+B96)</f>
        <v>#VALUE!</v>
      </c>
      <c r="C36" s="20" t="e">
        <f t="shared" si="5"/>
        <v>#VALUE!</v>
      </c>
      <c r="D36" s="20" t="e">
        <f t="shared" si="5"/>
        <v>#VALUE!</v>
      </c>
      <c r="E36" s="20" t="e">
        <f t="shared" si="5"/>
        <v>#VALUE!</v>
      </c>
      <c r="F36" s="20" t="e">
        <f t="shared" si="5"/>
        <v>#VALUE!</v>
      </c>
      <c r="G36" s="20">
        <f t="shared" si="5"/>
        <v>2.0298952829268741E-3</v>
      </c>
      <c r="H36" s="20">
        <f t="shared" si="5"/>
        <v>1.2294245278805576E-3</v>
      </c>
      <c r="I36" s="20">
        <f t="shared" si="5"/>
        <v>7.3727128771341136E-3</v>
      </c>
      <c r="J36" s="20">
        <f t="shared" si="5"/>
        <v>6.2764866310300186E-3</v>
      </c>
      <c r="K36" s="20">
        <f t="shared" si="5"/>
        <v>4.1971268717881953E-3</v>
      </c>
      <c r="L36" s="20">
        <f t="shared" si="5"/>
        <v>3.0447257246001159E-3</v>
      </c>
      <c r="M36" s="20">
        <f t="shared" si="5"/>
        <v>3.8217489541923309E-3</v>
      </c>
      <c r="N36" s="20">
        <f t="shared" si="5"/>
        <v>5.0906565074248806E-3</v>
      </c>
      <c r="O36" s="20">
        <f t="shared" si="5"/>
        <v>4.2834935805170131E-3</v>
      </c>
      <c r="P36" s="20">
        <f t="shared" si="5"/>
        <v>1.3668020012979406E-3</v>
      </c>
      <c r="Q36" s="20">
        <f t="shared" si="5"/>
        <v>1.2329742625610432E-3</v>
      </c>
      <c r="R36" s="20">
        <f t="shared" si="5"/>
        <v>1.0313901345291479E-3</v>
      </c>
      <c r="S36" s="20">
        <f>(S46*(1-0.25))/(S126+S105+S96)</f>
        <v>1.0363290920605676E-3</v>
      </c>
    </row>
    <row r="37" spans="1:30" x14ac:dyDescent="0.2">
      <c r="A37" s="2" t="s">
        <v>45</v>
      </c>
      <c r="B37" s="3">
        <v>25844000</v>
      </c>
      <c r="C37" s="3">
        <v>25844000</v>
      </c>
      <c r="D37" s="3">
        <v>25079000</v>
      </c>
      <c r="E37" s="3">
        <v>21938000</v>
      </c>
      <c r="F37" s="3">
        <v>21938000</v>
      </c>
      <c r="G37" s="3">
        <v>21938000</v>
      </c>
      <c r="H37" s="3">
        <v>28070000</v>
      </c>
      <c r="I37" s="3">
        <v>46041000</v>
      </c>
      <c r="J37" s="3">
        <v>41645000</v>
      </c>
      <c r="K37" s="3">
        <v>41612000</v>
      </c>
      <c r="L37" s="3">
        <v>41612000</v>
      </c>
      <c r="M37" s="3">
        <v>48343000</v>
      </c>
      <c r="N37" s="3">
        <v>40736000</v>
      </c>
      <c r="O37" s="4">
        <v>40368000</v>
      </c>
      <c r="P37" s="3">
        <v>10184000</v>
      </c>
      <c r="Q37" s="3">
        <v>10184000</v>
      </c>
      <c r="R37" s="3">
        <v>10000000</v>
      </c>
      <c r="S37" s="3">
        <v>10000000</v>
      </c>
    </row>
    <row r="38" spans="1:30"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x14ac:dyDescent="0.2">
      <c r="A39" s="2" t="s">
        <v>47</v>
      </c>
      <c r="B39" s="3">
        <v>816744000</v>
      </c>
      <c r="C39" s="3">
        <v>410514000</v>
      </c>
      <c r="D39" s="3">
        <v>568318000</v>
      </c>
      <c r="E39" s="3">
        <v>687793000</v>
      </c>
      <c r="F39" s="3">
        <v>812417000</v>
      </c>
      <c r="G39" s="3">
        <v>515800000</v>
      </c>
      <c r="H39" s="3">
        <v>664668000</v>
      </c>
      <c r="I39" s="3">
        <v>573237000</v>
      </c>
      <c r="J39" s="3">
        <v>716326000</v>
      </c>
      <c r="K39" s="3">
        <v>1594707000</v>
      </c>
      <c r="L39" s="3">
        <v>1363909000</v>
      </c>
      <c r="M39" s="3">
        <v>2108506000</v>
      </c>
      <c r="N39" s="3">
        <v>1436197000</v>
      </c>
      <c r="O39" s="4">
        <v>2222421000</v>
      </c>
      <c r="P39" s="3">
        <v>6917000</v>
      </c>
      <c r="Q39" s="3">
        <v>849504000</v>
      </c>
      <c r="R39" s="3">
        <v>705000000</v>
      </c>
      <c r="S39" s="3">
        <v>661000000</v>
      </c>
    </row>
    <row r="40" spans="1:30" x14ac:dyDescent="0.2">
      <c r="A40" s="2" t="s">
        <v>48</v>
      </c>
      <c r="B40" s="3">
        <v>451635000</v>
      </c>
      <c r="C40" s="3">
        <v>396666000</v>
      </c>
      <c r="D40" s="3">
        <v>403338000</v>
      </c>
      <c r="E40" s="3">
        <v>394066000</v>
      </c>
      <c r="F40" s="3">
        <v>392453000</v>
      </c>
      <c r="G40" s="3">
        <v>365358000</v>
      </c>
      <c r="H40" s="3">
        <v>362376000</v>
      </c>
      <c r="I40" s="3">
        <v>404138000</v>
      </c>
      <c r="J40" s="3">
        <v>404348000</v>
      </c>
      <c r="K40" s="3">
        <v>401803000</v>
      </c>
      <c r="L40" s="3">
        <v>403062000</v>
      </c>
      <c r="M40" s="3">
        <v>391749000</v>
      </c>
      <c r="N40" s="3">
        <v>368612000</v>
      </c>
      <c r="O40" s="4">
        <v>366765818</v>
      </c>
      <c r="P40" s="3">
        <v>365190527</v>
      </c>
      <c r="Q40" s="3">
        <v>365872744</v>
      </c>
      <c r="R40" s="3">
        <v>367300000</v>
      </c>
      <c r="S40" s="3">
        <v>368700000</v>
      </c>
    </row>
    <row r="41" spans="1:30" x14ac:dyDescent="0.2">
      <c r="A41" s="2" t="s">
        <v>49</v>
      </c>
      <c r="B41" s="5">
        <v>1.81</v>
      </c>
      <c r="C41" s="5">
        <v>1.03</v>
      </c>
      <c r="D41" s="5">
        <v>1.41</v>
      </c>
      <c r="E41" s="5">
        <v>1.75</v>
      </c>
      <c r="F41" s="5">
        <v>2.0699999999999998</v>
      </c>
      <c r="G41" s="5">
        <v>1.41</v>
      </c>
      <c r="H41" s="5">
        <v>1.83</v>
      </c>
      <c r="I41" s="5">
        <v>1.42</v>
      </c>
      <c r="J41" s="5">
        <v>1.77</v>
      </c>
      <c r="K41" s="5">
        <v>3.97</v>
      </c>
      <c r="L41" s="5">
        <v>3.38</v>
      </c>
      <c r="M41" s="5">
        <v>5.38</v>
      </c>
      <c r="N41" s="5">
        <v>3.9</v>
      </c>
      <c r="O41" s="6">
        <v>6.06</v>
      </c>
      <c r="P41" s="5">
        <v>0.02</v>
      </c>
      <c r="Q41" s="5">
        <v>2.3199999999999998</v>
      </c>
      <c r="R41" s="5">
        <v>1.92</v>
      </c>
      <c r="S41" s="5">
        <v>1.79</v>
      </c>
    </row>
    <row r="42" spans="1:30" x14ac:dyDescent="0.2">
      <c r="A42" s="2" t="s">
        <v>50</v>
      </c>
      <c r="B42" s="5">
        <v>1.87</v>
      </c>
      <c r="C42" s="5">
        <v>1.1000000000000001</v>
      </c>
      <c r="D42" s="5">
        <v>1.47</v>
      </c>
      <c r="E42" s="5">
        <v>1.8</v>
      </c>
      <c r="F42" s="5">
        <v>2.09</v>
      </c>
      <c r="G42" s="5">
        <v>1.44</v>
      </c>
      <c r="H42" s="5">
        <v>2.27</v>
      </c>
      <c r="I42" s="5">
        <v>1.56</v>
      </c>
      <c r="J42" s="5">
        <v>1.8</v>
      </c>
      <c r="K42" s="5">
        <v>4.21</v>
      </c>
      <c r="L42" s="5">
        <v>3.64</v>
      </c>
      <c r="M42" s="5">
        <v>5.72</v>
      </c>
      <c r="N42" s="5">
        <v>4.0199999999999996</v>
      </c>
      <c r="O42" s="6">
        <v>6.18</v>
      </c>
      <c r="P42" s="5">
        <v>0.05</v>
      </c>
      <c r="Q42" s="5">
        <v>2.36</v>
      </c>
      <c r="R42" s="5">
        <v>1.95</v>
      </c>
      <c r="S42" s="5">
        <v>1.81</v>
      </c>
    </row>
    <row r="43" spans="1:30" x14ac:dyDescent="0.2">
      <c r="A43" s="2" t="s">
        <v>51</v>
      </c>
      <c r="B43" s="3">
        <v>472695000</v>
      </c>
      <c r="C43" s="3">
        <v>414869000</v>
      </c>
      <c r="D43" s="3">
        <v>414777000</v>
      </c>
      <c r="E43" s="3">
        <v>407332000</v>
      </c>
      <c r="F43" s="3">
        <v>404767000</v>
      </c>
      <c r="G43" s="3">
        <v>378116000</v>
      </c>
      <c r="H43" s="3">
        <v>374152000</v>
      </c>
      <c r="I43" s="3">
        <v>417785000</v>
      </c>
      <c r="J43" s="3">
        <v>412906000</v>
      </c>
      <c r="K43" s="3">
        <v>411609000</v>
      </c>
      <c r="L43" s="3">
        <v>410259000</v>
      </c>
      <c r="M43" s="3">
        <v>400346000</v>
      </c>
      <c r="N43" s="3">
        <v>377610000</v>
      </c>
      <c r="O43" s="4">
        <v>376261701</v>
      </c>
      <c r="P43" s="3">
        <v>373727277</v>
      </c>
      <c r="Q43" s="3">
        <v>375319528</v>
      </c>
      <c r="R43" s="3">
        <v>377600000</v>
      </c>
      <c r="S43" s="3">
        <v>378400000</v>
      </c>
    </row>
    <row r="44" spans="1:30" x14ac:dyDescent="0.2">
      <c r="A44" s="2" t="s">
        <v>52</v>
      </c>
      <c r="B44" s="5">
        <v>1.73</v>
      </c>
      <c r="C44" s="5">
        <v>0.99</v>
      </c>
      <c r="D44" s="5">
        <v>1.37</v>
      </c>
      <c r="E44" s="5">
        <v>1.69</v>
      </c>
      <c r="F44" s="5">
        <v>2.0099999999999998</v>
      </c>
      <c r="G44" s="5">
        <v>1.36</v>
      </c>
      <c r="H44" s="5">
        <v>1.78</v>
      </c>
      <c r="I44" s="5">
        <v>1.37</v>
      </c>
      <c r="J44" s="5">
        <v>1.73</v>
      </c>
      <c r="K44" s="5">
        <v>3.87</v>
      </c>
      <c r="L44" s="5">
        <v>3.32</v>
      </c>
      <c r="M44" s="5">
        <v>5.27</v>
      </c>
      <c r="N44" s="5">
        <v>3.8</v>
      </c>
      <c r="O44" s="6">
        <v>5.91</v>
      </c>
      <c r="P44" s="5">
        <v>0.02</v>
      </c>
      <c r="Q44" s="5">
        <v>2.2599999999999998</v>
      </c>
      <c r="R44" s="5">
        <v>1.87</v>
      </c>
      <c r="S44" s="5">
        <v>1.75</v>
      </c>
    </row>
    <row r="45" spans="1:30" x14ac:dyDescent="0.2">
      <c r="A45" s="2" t="s">
        <v>53</v>
      </c>
      <c r="B45" s="5">
        <v>1.78</v>
      </c>
      <c r="C45" s="5">
        <v>1.05</v>
      </c>
      <c r="D45" s="5">
        <v>1.43</v>
      </c>
      <c r="E45" s="5">
        <v>1.74</v>
      </c>
      <c r="F45" s="5">
        <v>2.0299999999999998</v>
      </c>
      <c r="G45" s="5">
        <v>1.39</v>
      </c>
      <c r="H45" s="5">
        <v>2.2000000000000002</v>
      </c>
      <c r="I45" s="5">
        <v>1.51</v>
      </c>
      <c r="J45" s="5">
        <v>1.76</v>
      </c>
      <c r="K45" s="5">
        <v>4.1100000000000003</v>
      </c>
      <c r="L45" s="5">
        <v>3.57</v>
      </c>
      <c r="M45" s="5">
        <v>5.59</v>
      </c>
      <c r="N45" s="5">
        <v>3.93</v>
      </c>
      <c r="O45" s="6">
        <v>6.03</v>
      </c>
      <c r="P45" s="5">
        <v>0.05</v>
      </c>
      <c r="Q45" s="5">
        <v>2.2999999999999998</v>
      </c>
      <c r="R45" s="5">
        <v>1.9</v>
      </c>
      <c r="S45" s="5">
        <v>1.77</v>
      </c>
    </row>
    <row r="46" spans="1:30" x14ac:dyDescent="0.2">
      <c r="A46" s="2" t="s">
        <v>54</v>
      </c>
      <c r="B46" s="3" t="s">
        <v>21</v>
      </c>
      <c r="C46" s="3" t="s">
        <v>21</v>
      </c>
      <c r="D46" s="3" t="s">
        <v>21</v>
      </c>
      <c r="E46" s="3" t="s">
        <v>21</v>
      </c>
      <c r="F46" s="3" t="s">
        <v>21</v>
      </c>
      <c r="G46" s="3">
        <v>22926000</v>
      </c>
      <c r="H46" s="3">
        <v>19343000</v>
      </c>
      <c r="I46" s="3">
        <v>125778000</v>
      </c>
      <c r="J46" s="3">
        <v>105670000</v>
      </c>
      <c r="K46" s="3">
        <v>82104000</v>
      </c>
      <c r="L46" s="3">
        <v>69031000</v>
      </c>
      <c r="M46" s="3">
        <v>82955000</v>
      </c>
      <c r="N46" s="3">
        <v>106200000</v>
      </c>
      <c r="O46" s="4">
        <v>99200000</v>
      </c>
      <c r="P46" s="3">
        <v>26478000</v>
      </c>
      <c r="Q46" s="3">
        <v>25722000</v>
      </c>
      <c r="R46" s="3">
        <v>23000000</v>
      </c>
      <c r="S46" s="3">
        <v>24000000</v>
      </c>
    </row>
    <row r="47" spans="1:30" x14ac:dyDescent="0.2">
      <c r="A47" s="2" t="s">
        <v>55</v>
      </c>
      <c r="B47" s="3" t="s">
        <v>21</v>
      </c>
      <c r="C47" s="3" t="s">
        <v>21</v>
      </c>
      <c r="D47" s="3" t="s">
        <v>21</v>
      </c>
      <c r="E47" s="3" t="s">
        <v>21</v>
      </c>
      <c r="F47" s="3" t="s">
        <v>21</v>
      </c>
      <c r="G47" s="5">
        <v>0.57999999999999996</v>
      </c>
      <c r="H47" s="5">
        <v>0.43</v>
      </c>
      <c r="I47" s="5">
        <v>2.34</v>
      </c>
      <c r="J47" s="5">
        <v>1.93</v>
      </c>
      <c r="K47" s="5">
        <v>1.21</v>
      </c>
      <c r="L47" s="5">
        <v>0.83</v>
      </c>
      <c r="M47" s="5">
        <v>0.93</v>
      </c>
      <c r="N47" s="5">
        <v>1.1100000000000001</v>
      </c>
      <c r="O47" s="6">
        <v>0.85</v>
      </c>
      <c r="P47" s="5">
        <v>1.28</v>
      </c>
      <c r="Q47" s="5">
        <v>1.1100000000000001</v>
      </c>
      <c r="R47" s="5">
        <v>0.95</v>
      </c>
      <c r="S47" s="5">
        <v>0.85</v>
      </c>
    </row>
    <row r="48" spans="1:30" x14ac:dyDescent="0.2">
      <c r="A48" s="2" t="s">
        <v>56</v>
      </c>
      <c r="B48" s="3" t="s">
        <v>21</v>
      </c>
      <c r="C48" s="3" t="s">
        <v>21</v>
      </c>
      <c r="D48" s="3" t="s">
        <v>21</v>
      </c>
      <c r="E48" s="3" t="s">
        <v>21</v>
      </c>
      <c r="F48" s="3" t="s">
        <v>21</v>
      </c>
      <c r="G48" s="3" t="s">
        <v>21</v>
      </c>
      <c r="H48" s="3" t="s">
        <v>21</v>
      </c>
      <c r="I48" s="3" t="s">
        <v>21</v>
      </c>
      <c r="J48" s="3" t="s">
        <v>21</v>
      </c>
      <c r="K48" s="3" t="s">
        <v>21</v>
      </c>
      <c r="L48" s="3" t="s">
        <v>21</v>
      </c>
      <c r="M48" s="3" t="s">
        <v>21</v>
      </c>
      <c r="N48" s="3" t="s">
        <v>21</v>
      </c>
      <c r="O48" s="4">
        <v>374000</v>
      </c>
      <c r="P48" s="3">
        <v>374000</v>
      </c>
      <c r="Q48" s="3" t="s">
        <v>21</v>
      </c>
      <c r="R48" s="3" t="s">
        <v>21</v>
      </c>
      <c r="S48" s="3" t="s">
        <v>21</v>
      </c>
    </row>
    <row r="49" spans="1:19" x14ac:dyDescent="0.2">
      <c r="A49" s="2" t="s">
        <v>57</v>
      </c>
      <c r="B49" s="3" t="s">
        <v>21</v>
      </c>
      <c r="C49" s="3" t="s">
        <v>21</v>
      </c>
      <c r="D49" s="3" t="s">
        <v>21</v>
      </c>
      <c r="E49" s="3" t="s">
        <v>21</v>
      </c>
      <c r="F49" s="3" t="s">
        <v>21</v>
      </c>
      <c r="G49" s="3" t="s">
        <v>21</v>
      </c>
      <c r="H49" s="3" t="s">
        <v>21</v>
      </c>
      <c r="I49" s="3" t="s">
        <v>21</v>
      </c>
      <c r="J49" s="3" t="s">
        <v>21</v>
      </c>
      <c r="K49" s="3" t="s">
        <v>21</v>
      </c>
      <c r="L49" s="3" t="s">
        <v>21</v>
      </c>
      <c r="M49" s="3" t="s">
        <v>21</v>
      </c>
      <c r="N49" s="3" t="s">
        <v>21</v>
      </c>
      <c r="O49" s="4" t="s">
        <v>21</v>
      </c>
      <c r="P49" s="3" t="s">
        <v>21</v>
      </c>
      <c r="Q49" s="3" t="s">
        <v>21</v>
      </c>
      <c r="R49" s="3" t="s">
        <v>21</v>
      </c>
      <c r="S49" s="3" t="s">
        <v>21</v>
      </c>
    </row>
    <row r="50" spans="1:19" x14ac:dyDescent="0.2">
      <c r="A50" s="2" t="s">
        <v>61</v>
      </c>
      <c r="B50" s="3">
        <v>2949152</v>
      </c>
      <c r="C50" s="3">
        <v>2264730</v>
      </c>
      <c r="D50" s="3">
        <v>2449491</v>
      </c>
      <c r="E50" s="3">
        <v>1911055</v>
      </c>
      <c r="F50" s="3">
        <v>2110799</v>
      </c>
      <c r="G50" s="3">
        <v>1959238</v>
      </c>
      <c r="H50" s="3">
        <v>2747983</v>
      </c>
      <c r="I50" s="3">
        <v>1709970</v>
      </c>
      <c r="J50" s="3">
        <v>1503111</v>
      </c>
      <c r="K50" s="3">
        <v>1577656</v>
      </c>
      <c r="L50" s="3">
        <v>1843322</v>
      </c>
      <c r="M50" s="3">
        <v>1716367</v>
      </c>
      <c r="N50" s="3">
        <v>1655148</v>
      </c>
      <c r="O50" s="4">
        <v>2006195</v>
      </c>
      <c r="P50" s="3">
        <v>479927</v>
      </c>
      <c r="Q50" s="3">
        <v>508674</v>
      </c>
      <c r="R50" s="3">
        <v>534828</v>
      </c>
      <c r="S50" s="3">
        <v>532414</v>
      </c>
    </row>
    <row r="51" spans="1:19" x14ac:dyDescent="0.2">
      <c r="A51" s="2" t="s">
        <v>62</v>
      </c>
      <c r="B51" s="5">
        <v>0.06</v>
      </c>
      <c r="C51" s="5">
        <v>7.0000000000000007E-2</v>
      </c>
      <c r="D51" s="5">
        <v>7.0000000000000007E-2</v>
      </c>
      <c r="E51" s="5">
        <v>0.06</v>
      </c>
      <c r="F51" s="5">
        <v>0.06</v>
      </c>
      <c r="G51" s="5">
        <v>0.06</v>
      </c>
      <c r="H51" s="5">
        <v>0.08</v>
      </c>
      <c r="I51" s="5">
        <v>0.11</v>
      </c>
      <c r="J51" s="5">
        <v>0.1</v>
      </c>
      <c r="K51" s="5">
        <v>0.1</v>
      </c>
      <c r="L51" s="5">
        <v>0.1</v>
      </c>
      <c r="M51" s="5">
        <v>0.12</v>
      </c>
      <c r="N51" s="5">
        <v>0.11</v>
      </c>
      <c r="O51" s="6">
        <v>0.11</v>
      </c>
      <c r="P51" s="5">
        <v>0.03</v>
      </c>
      <c r="Q51" s="5">
        <v>0.03</v>
      </c>
      <c r="R51" s="5">
        <v>0.03</v>
      </c>
      <c r="S51" s="5">
        <v>0.03</v>
      </c>
    </row>
    <row r="52" spans="1:19" x14ac:dyDescent="0.2">
      <c r="A52" s="2" t="s">
        <v>63</v>
      </c>
      <c r="B52" s="3" t="s">
        <v>21</v>
      </c>
      <c r="C52" s="3" t="s">
        <v>21</v>
      </c>
      <c r="D52" s="3" t="s">
        <v>21</v>
      </c>
      <c r="E52" s="3" t="s">
        <v>21</v>
      </c>
      <c r="F52" s="3" t="s">
        <v>21</v>
      </c>
      <c r="G52" s="3">
        <v>22926000</v>
      </c>
      <c r="H52" s="3">
        <v>19343000</v>
      </c>
      <c r="I52" s="3">
        <v>125778000</v>
      </c>
      <c r="J52" s="3">
        <v>105670000</v>
      </c>
      <c r="K52" s="3">
        <v>82104000</v>
      </c>
      <c r="L52" s="3">
        <v>69031000</v>
      </c>
      <c r="M52" s="3">
        <v>82955000</v>
      </c>
      <c r="N52" s="3">
        <v>106200000</v>
      </c>
      <c r="O52" s="4">
        <v>98826000</v>
      </c>
      <c r="P52" s="3">
        <v>26104000</v>
      </c>
      <c r="Q52" s="3">
        <v>25722000</v>
      </c>
      <c r="R52" s="3">
        <v>23000000</v>
      </c>
      <c r="S52" s="3">
        <v>24000000</v>
      </c>
    </row>
    <row r="54" spans="1:19"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x14ac:dyDescent="0.2">
      <c r="A55" s="2" t="s">
        <v>64</v>
      </c>
      <c r="B55" s="3" t="s">
        <v>21</v>
      </c>
      <c r="C55" s="3" t="s">
        <v>21</v>
      </c>
      <c r="D55" s="3" t="s">
        <v>21</v>
      </c>
      <c r="E55" s="3" t="s">
        <v>21</v>
      </c>
      <c r="F55" s="3" t="s">
        <v>21</v>
      </c>
      <c r="G55" s="3" t="s">
        <v>21</v>
      </c>
      <c r="H55" s="3" t="s">
        <v>21</v>
      </c>
      <c r="I55" s="3" t="s">
        <v>21</v>
      </c>
      <c r="J55" s="3" t="s">
        <v>21</v>
      </c>
      <c r="K55" s="3" t="s">
        <v>21</v>
      </c>
      <c r="L55" s="3" t="s">
        <v>21</v>
      </c>
      <c r="M55" s="3" t="s">
        <v>21</v>
      </c>
      <c r="N55" s="3" t="s">
        <v>21</v>
      </c>
      <c r="O55" s="4" t="s">
        <v>21</v>
      </c>
      <c r="P55" s="3" t="s">
        <v>21</v>
      </c>
      <c r="Q55" s="3" t="s">
        <v>21</v>
      </c>
      <c r="R55" s="3" t="s">
        <v>21</v>
      </c>
      <c r="S55" s="3" t="s">
        <v>21</v>
      </c>
    </row>
    <row r="56" spans="1:19" x14ac:dyDescent="0.2">
      <c r="A56" s="2" t="s">
        <v>65</v>
      </c>
      <c r="B56" s="3">
        <v>1348241000</v>
      </c>
      <c r="C56" s="3">
        <v>1255918000</v>
      </c>
      <c r="D56" s="3">
        <v>11245899000</v>
      </c>
      <c r="E56" s="3">
        <v>11981024000</v>
      </c>
      <c r="F56" s="3">
        <v>12691880000</v>
      </c>
      <c r="G56" s="3">
        <v>12218988000</v>
      </c>
      <c r="H56" s="3">
        <v>15399565000</v>
      </c>
      <c r="I56" s="3">
        <v>16447048000</v>
      </c>
      <c r="J56" s="3">
        <v>16640345000</v>
      </c>
      <c r="K56" s="3">
        <v>19416227000</v>
      </c>
      <c r="L56" s="3">
        <v>21549195000</v>
      </c>
      <c r="M56" s="3">
        <v>22395663000</v>
      </c>
      <c r="N56" s="3">
        <v>21869569000</v>
      </c>
      <c r="O56" s="4">
        <v>24040000000</v>
      </c>
      <c r="P56" s="3">
        <v>21685036000</v>
      </c>
      <c r="Q56" s="3">
        <v>21869569000</v>
      </c>
      <c r="R56" s="3">
        <v>23907000000</v>
      </c>
      <c r="S56" s="3">
        <v>24040000000</v>
      </c>
    </row>
    <row r="57" spans="1:19" x14ac:dyDescent="0.2">
      <c r="A57" s="2" t="s">
        <v>66</v>
      </c>
      <c r="B57" s="3">
        <v>362740000</v>
      </c>
      <c r="C57" s="3">
        <v>351699000</v>
      </c>
      <c r="D57" s="3">
        <v>371041000</v>
      </c>
      <c r="E57" s="3">
        <v>434057000</v>
      </c>
      <c r="F57" s="3">
        <v>485702000</v>
      </c>
      <c r="G57" s="3">
        <v>553326000</v>
      </c>
      <c r="H57" s="3">
        <v>842942000</v>
      </c>
      <c r="I57" s="3">
        <v>606199000</v>
      </c>
      <c r="J57" s="3">
        <v>646556000</v>
      </c>
      <c r="K57" s="3">
        <v>726230000</v>
      </c>
      <c r="L57" s="3">
        <v>906448000</v>
      </c>
      <c r="M57" s="3">
        <v>858668000</v>
      </c>
      <c r="N57" s="3">
        <v>855118000</v>
      </c>
      <c r="O57" s="4">
        <v>904000000</v>
      </c>
      <c r="P57" s="3">
        <v>813583000</v>
      </c>
      <c r="Q57" s="3">
        <v>855118000</v>
      </c>
      <c r="R57" s="3">
        <v>803000000</v>
      </c>
      <c r="S57" s="3">
        <v>904000000</v>
      </c>
    </row>
    <row r="58" spans="1:19" x14ac:dyDescent="0.2">
      <c r="A58" s="2" t="s">
        <v>67</v>
      </c>
      <c r="B58" s="3">
        <v>985501000</v>
      </c>
      <c r="C58" s="3">
        <v>904219000</v>
      </c>
      <c r="D58" s="3">
        <v>10874858000</v>
      </c>
      <c r="E58" s="3">
        <v>11546967000</v>
      </c>
      <c r="F58" s="3">
        <v>12206178000</v>
      </c>
      <c r="G58" s="3">
        <v>11665662000</v>
      </c>
      <c r="H58" s="3">
        <v>14556623000</v>
      </c>
      <c r="I58" s="3">
        <v>15840849000</v>
      </c>
      <c r="J58" s="3">
        <v>15993789000</v>
      </c>
      <c r="K58" s="3">
        <v>18689997000</v>
      </c>
      <c r="L58" s="3">
        <v>20642747000</v>
      </c>
      <c r="M58" s="3">
        <v>21536995000</v>
      </c>
      <c r="N58" s="3">
        <v>21014451000</v>
      </c>
      <c r="O58" s="4">
        <v>23136000000</v>
      </c>
      <c r="P58" s="3">
        <v>20871453000</v>
      </c>
      <c r="Q58" s="3">
        <v>21014451000</v>
      </c>
      <c r="R58" s="3">
        <v>23104000000</v>
      </c>
      <c r="S58" s="3">
        <v>23136000000</v>
      </c>
    </row>
    <row r="59" spans="1:19" x14ac:dyDescent="0.2">
      <c r="A59" s="2" t="s">
        <v>68</v>
      </c>
      <c r="B59" s="3">
        <v>559579000</v>
      </c>
      <c r="C59" s="3">
        <v>1712685000</v>
      </c>
      <c r="D59" s="3">
        <v>3424638000</v>
      </c>
      <c r="E59" s="3">
        <v>3622500000</v>
      </c>
      <c r="F59" s="3">
        <v>4070732000</v>
      </c>
      <c r="G59" s="3">
        <v>4337112000</v>
      </c>
      <c r="H59" s="3">
        <v>4904009000</v>
      </c>
      <c r="I59" s="3">
        <v>5653806000</v>
      </c>
      <c r="J59" s="3">
        <v>6297633000</v>
      </c>
      <c r="K59" s="3">
        <v>8244993000</v>
      </c>
      <c r="L59" s="3">
        <v>8552312000</v>
      </c>
      <c r="M59" s="3">
        <v>10342706000</v>
      </c>
      <c r="N59" s="3">
        <v>11919724000</v>
      </c>
      <c r="O59" s="4">
        <v>13774000000</v>
      </c>
      <c r="P59" s="3">
        <v>11671566000</v>
      </c>
      <c r="Q59" s="3">
        <v>11919724000</v>
      </c>
      <c r="R59" s="3">
        <v>12875000000</v>
      </c>
      <c r="S59" s="3">
        <v>13774000000</v>
      </c>
    </row>
    <row r="60" spans="1:19" x14ac:dyDescent="0.2">
      <c r="A60" s="2" t="s">
        <v>69</v>
      </c>
      <c r="B60" s="3">
        <v>503434000</v>
      </c>
      <c r="C60" s="3">
        <v>501563000</v>
      </c>
      <c r="D60" s="3">
        <v>3424638000</v>
      </c>
      <c r="E60" s="3">
        <v>3622500000</v>
      </c>
      <c r="F60" s="3">
        <v>4070732000</v>
      </c>
      <c r="G60" s="3">
        <v>4337112000</v>
      </c>
      <c r="H60" s="3">
        <v>4904009000</v>
      </c>
      <c r="I60" s="3">
        <v>5653806000</v>
      </c>
      <c r="J60" s="3">
        <v>6297633000</v>
      </c>
      <c r="K60" s="3">
        <v>8244993000</v>
      </c>
      <c r="L60" s="3">
        <v>8552312000</v>
      </c>
      <c r="M60" s="3">
        <v>10342706000</v>
      </c>
      <c r="N60" s="3">
        <v>11919724000</v>
      </c>
      <c r="O60" s="4">
        <v>13774000000</v>
      </c>
      <c r="P60" s="3">
        <v>11671566000</v>
      </c>
      <c r="Q60" s="3">
        <v>11919724000</v>
      </c>
      <c r="R60" s="3">
        <v>12875000000</v>
      </c>
      <c r="S60" s="3">
        <v>13774000000</v>
      </c>
    </row>
    <row r="61" spans="1:19"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x14ac:dyDescent="0.2">
      <c r="A63" s="2" t="s">
        <v>72</v>
      </c>
      <c r="B63" s="3">
        <v>56145000</v>
      </c>
      <c r="C63" s="3">
        <v>1211122000</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x14ac:dyDescent="0.2">
      <c r="A70" s="2" t="s">
        <v>79</v>
      </c>
      <c r="B70" s="3">
        <v>-1907820000</v>
      </c>
      <c r="C70" s="3">
        <v>-2968603000</v>
      </c>
      <c r="D70" s="3">
        <v>-14670537000</v>
      </c>
      <c r="E70" s="3">
        <v>-15603524000</v>
      </c>
      <c r="F70" s="3">
        <v>-16762612000</v>
      </c>
      <c r="G70" s="3">
        <v>-16556100000</v>
      </c>
      <c r="H70" s="3">
        <v>-20303574000</v>
      </c>
      <c r="I70" s="3">
        <v>-22100854000</v>
      </c>
      <c r="J70" s="3">
        <v>-22937978000</v>
      </c>
      <c r="K70" s="3">
        <v>-27661220000</v>
      </c>
      <c r="L70" s="3">
        <v>-30101507000</v>
      </c>
      <c r="M70" s="3">
        <v>-32738369000</v>
      </c>
      <c r="N70" s="3">
        <v>-33789293000</v>
      </c>
      <c r="O70" s="4">
        <v>-37814000000</v>
      </c>
      <c r="P70" s="3">
        <v>-33356602000</v>
      </c>
      <c r="Q70" s="3">
        <v>-33789293000</v>
      </c>
      <c r="R70" s="3">
        <v>-36782000000</v>
      </c>
      <c r="S70" s="3">
        <v>-37814000000</v>
      </c>
    </row>
    <row r="71" spans="1:19"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x14ac:dyDescent="0.2">
      <c r="A76" s="2" t="s">
        <v>85</v>
      </c>
      <c r="B76" s="3" t="s">
        <v>21</v>
      </c>
      <c r="C76" s="3" t="s">
        <v>21</v>
      </c>
      <c r="D76" s="3" t="s">
        <v>21</v>
      </c>
      <c r="E76" s="3" t="s">
        <v>21</v>
      </c>
      <c r="F76" s="3" t="s">
        <v>21</v>
      </c>
      <c r="G76" s="3" t="s">
        <v>21</v>
      </c>
      <c r="H76" s="3" t="s">
        <v>21</v>
      </c>
      <c r="I76" s="3" t="s">
        <v>21</v>
      </c>
      <c r="J76" s="3" t="s">
        <v>21</v>
      </c>
      <c r="K76" s="3" t="s">
        <v>21</v>
      </c>
      <c r="L76" s="3" t="s">
        <v>21</v>
      </c>
      <c r="M76" s="3" t="s">
        <v>21</v>
      </c>
      <c r="N76" s="3" t="s">
        <v>21</v>
      </c>
      <c r="O76" s="4" t="s">
        <v>21</v>
      </c>
      <c r="P76" s="3" t="s">
        <v>21</v>
      </c>
      <c r="Q76" s="3" t="s">
        <v>21</v>
      </c>
      <c r="R76" s="3" t="s">
        <v>21</v>
      </c>
      <c r="S76" s="3" t="s">
        <v>21</v>
      </c>
    </row>
    <row r="77" spans="1:19" x14ac:dyDescent="0.2">
      <c r="A77" s="2" t="s">
        <v>86</v>
      </c>
      <c r="B77" s="3" t="s">
        <v>21</v>
      </c>
      <c r="C77" s="3" t="s">
        <v>21</v>
      </c>
      <c r="D77" s="3" t="s">
        <v>21</v>
      </c>
      <c r="E77" s="3" t="s">
        <v>21</v>
      </c>
      <c r="F77" s="3" t="s">
        <v>21</v>
      </c>
      <c r="G77" s="3" t="s">
        <v>21</v>
      </c>
      <c r="H77" s="3" t="s">
        <v>21</v>
      </c>
      <c r="I77" s="3" t="s">
        <v>21</v>
      </c>
      <c r="J77" s="3" t="s">
        <v>21</v>
      </c>
      <c r="K77" s="3" t="s">
        <v>21</v>
      </c>
      <c r="L77" s="3" t="s">
        <v>21</v>
      </c>
      <c r="M77" s="3" t="s">
        <v>21</v>
      </c>
      <c r="N77" s="3" t="s">
        <v>21</v>
      </c>
      <c r="O77" s="4" t="s">
        <v>21</v>
      </c>
      <c r="P77" s="3" t="s">
        <v>21</v>
      </c>
      <c r="Q77" s="3" t="s">
        <v>21</v>
      </c>
      <c r="R77" s="3" t="s">
        <v>21</v>
      </c>
      <c r="S77" s="3" t="s">
        <v>21</v>
      </c>
    </row>
    <row r="78" spans="1:19" x14ac:dyDescent="0.2">
      <c r="A78" s="2" t="s">
        <v>87</v>
      </c>
      <c r="B78" s="3" t="s">
        <v>21</v>
      </c>
      <c r="C78" s="3" t="s">
        <v>21</v>
      </c>
      <c r="D78" s="3" t="s">
        <v>21</v>
      </c>
      <c r="E78" s="3" t="s">
        <v>21</v>
      </c>
      <c r="F78" s="3" t="s">
        <v>21</v>
      </c>
      <c r="G78" s="3" t="s">
        <v>21</v>
      </c>
      <c r="H78" s="3" t="s">
        <v>21</v>
      </c>
      <c r="I78" s="3" t="s">
        <v>21</v>
      </c>
      <c r="J78" s="3" t="s">
        <v>21</v>
      </c>
      <c r="K78" s="3" t="s">
        <v>21</v>
      </c>
      <c r="L78" s="3" t="s">
        <v>21</v>
      </c>
      <c r="M78" s="3" t="s">
        <v>21</v>
      </c>
      <c r="N78" s="3" t="s">
        <v>21</v>
      </c>
      <c r="O78" s="4" t="s">
        <v>21</v>
      </c>
      <c r="P78" s="3" t="s">
        <v>21</v>
      </c>
      <c r="Q78" s="3" t="s">
        <v>21</v>
      </c>
      <c r="R78" s="3" t="s">
        <v>21</v>
      </c>
      <c r="S78" s="3" t="s">
        <v>21</v>
      </c>
    </row>
    <row r="79" spans="1:19" x14ac:dyDescent="0.2">
      <c r="A79" s="2" t="s">
        <v>88</v>
      </c>
      <c r="B79" s="3" t="s">
        <v>21</v>
      </c>
      <c r="C79" s="3" t="s">
        <v>21</v>
      </c>
      <c r="D79" s="3" t="s">
        <v>21</v>
      </c>
      <c r="E79" s="3" t="s">
        <v>21</v>
      </c>
      <c r="F79" s="3" t="s">
        <v>21</v>
      </c>
      <c r="G79" s="3" t="s">
        <v>21</v>
      </c>
      <c r="H79" s="3" t="s">
        <v>21</v>
      </c>
      <c r="I79" s="3" t="s">
        <v>21</v>
      </c>
      <c r="J79" s="3" t="s">
        <v>21</v>
      </c>
      <c r="K79" s="3" t="s">
        <v>21</v>
      </c>
      <c r="L79" s="3" t="s">
        <v>21</v>
      </c>
      <c r="M79" s="3" t="s">
        <v>21</v>
      </c>
      <c r="N79" s="3" t="s">
        <v>21</v>
      </c>
      <c r="O79" s="4" t="s">
        <v>21</v>
      </c>
      <c r="P79" s="3" t="s">
        <v>21</v>
      </c>
      <c r="Q79" s="3" t="s">
        <v>21</v>
      </c>
      <c r="R79" s="3" t="s">
        <v>21</v>
      </c>
      <c r="S79" s="3" t="s">
        <v>21</v>
      </c>
    </row>
    <row r="80" spans="1:19" x14ac:dyDescent="0.2">
      <c r="A80" s="2" t="s">
        <v>89</v>
      </c>
      <c r="B80" s="3">
        <v>10431584000</v>
      </c>
      <c r="C80" s="3">
        <v>10959914000</v>
      </c>
      <c r="D80" s="3">
        <v>12755993000</v>
      </c>
      <c r="E80" s="3">
        <v>13616006000</v>
      </c>
      <c r="F80" s="3">
        <v>15377374000</v>
      </c>
      <c r="G80" s="3">
        <v>15453605000</v>
      </c>
      <c r="H80" s="3">
        <v>18957086000</v>
      </c>
      <c r="I80" s="3">
        <v>21363397000</v>
      </c>
      <c r="J80" s="3">
        <v>21471151000</v>
      </c>
      <c r="K80" s="3">
        <v>24013870000</v>
      </c>
      <c r="L80" s="3">
        <v>24135466000</v>
      </c>
      <c r="M80" s="3">
        <v>25750261000</v>
      </c>
      <c r="N80" s="3">
        <v>26613334000</v>
      </c>
      <c r="O80" s="4">
        <v>29093000000</v>
      </c>
      <c r="P80" s="3">
        <v>25328611000</v>
      </c>
      <c r="Q80" s="3">
        <v>26613334000</v>
      </c>
      <c r="R80" s="3">
        <v>28015000000</v>
      </c>
      <c r="S80" s="3">
        <v>29093000000</v>
      </c>
    </row>
    <row r="81" spans="1:19" x14ac:dyDescent="0.2">
      <c r="A81" s="2" t="s">
        <v>90</v>
      </c>
      <c r="B81" s="3">
        <v>10431584000</v>
      </c>
      <c r="C81" s="3">
        <v>10959914000</v>
      </c>
      <c r="D81" s="3">
        <v>12755993000</v>
      </c>
      <c r="E81" s="3">
        <v>13616006000</v>
      </c>
      <c r="F81" s="3">
        <v>15377374000</v>
      </c>
      <c r="G81" s="3">
        <v>15453605000</v>
      </c>
      <c r="H81" s="3">
        <v>18957086000</v>
      </c>
      <c r="I81" s="3">
        <v>21363397000</v>
      </c>
      <c r="J81" s="3">
        <v>21471151000</v>
      </c>
      <c r="K81" s="3">
        <v>24013870000</v>
      </c>
      <c r="L81" s="3">
        <v>24135466000</v>
      </c>
      <c r="M81" s="3">
        <v>25750261000</v>
      </c>
      <c r="N81" s="3">
        <v>26613334000</v>
      </c>
      <c r="O81" s="4">
        <v>29093000000</v>
      </c>
      <c r="P81" s="3">
        <v>25328611000</v>
      </c>
      <c r="Q81" s="3">
        <v>26613334000</v>
      </c>
      <c r="R81" s="3">
        <v>28015000000</v>
      </c>
      <c r="S81" s="3">
        <v>29093000000</v>
      </c>
    </row>
    <row r="82" spans="1:19"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x14ac:dyDescent="0.2">
      <c r="A83" s="2" t="s">
        <v>92</v>
      </c>
      <c r="B83" s="3">
        <v>-10431584000</v>
      </c>
      <c r="C83" s="3">
        <v>-10959914000</v>
      </c>
      <c r="D83" s="3">
        <v>-12755993000</v>
      </c>
      <c r="E83" s="3">
        <v>-13616006000</v>
      </c>
      <c r="F83" s="3">
        <v>-15377374000</v>
      </c>
      <c r="G83" s="3">
        <v>-15453605000</v>
      </c>
      <c r="H83" s="3">
        <v>-18957086000</v>
      </c>
      <c r="I83" s="3">
        <v>-21363397000</v>
      </c>
      <c r="J83" s="3">
        <v>-21471151000</v>
      </c>
      <c r="K83" s="3">
        <v>-24013870000</v>
      </c>
      <c r="L83" s="3">
        <v>-24135466000</v>
      </c>
      <c r="M83" s="3">
        <v>-25750261000</v>
      </c>
      <c r="N83" s="3">
        <v>-26613334000</v>
      </c>
      <c r="O83" s="4">
        <v>-29093000000</v>
      </c>
      <c r="P83" s="3">
        <v>-25328611000</v>
      </c>
      <c r="Q83" s="3">
        <v>-26613334000</v>
      </c>
      <c r="R83" s="3">
        <v>-28015000000</v>
      </c>
      <c r="S83" s="3">
        <v>-29093000000</v>
      </c>
    </row>
    <row r="84" spans="1:19" x14ac:dyDescent="0.2">
      <c r="A84" s="2" t="s">
        <v>93</v>
      </c>
      <c r="B84" s="3" t="s">
        <v>21</v>
      </c>
      <c r="C84" s="3" t="s">
        <v>21</v>
      </c>
      <c r="D84" s="3" t="s">
        <v>21</v>
      </c>
      <c r="E84" s="3">
        <v>27319000</v>
      </c>
      <c r="F84" s="3">
        <v>109539000</v>
      </c>
      <c r="G84" s="3">
        <v>97531000</v>
      </c>
      <c r="H84" s="3">
        <v>781553000</v>
      </c>
      <c r="I84" s="3">
        <v>652611000</v>
      </c>
      <c r="J84" s="3">
        <v>634920000</v>
      </c>
      <c r="K84" s="3">
        <v>738083000</v>
      </c>
      <c r="L84" s="3">
        <v>692863000</v>
      </c>
      <c r="M84" s="3">
        <v>944983000</v>
      </c>
      <c r="N84" s="3">
        <v>804289000</v>
      </c>
      <c r="O84" s="4">
        <v>775000000</v>
      </c>
      <c r="P84" s="3">
        <v>806655000</v>
      </c>
      <c r="Q84" s="3">
        <v>804289000</v>
      </c>
      <c r="R84" s="3">
        <v>785000000</v>
      </c>
      <c r="S84" s="3">
        <v>775000000</v>
      </c>
    </row>
    <row r="85" spans="1:19" x14ac:dyDescent="0.2">
      <c r="A85" s="2" t="s">
        <v>94</v>
      </c>
      <c r="B85" s="3" t="s">
        <v>21</v>
      </c>
      <c r="C85" s="3" t="s">
        <v>21</v>
      </c>
      <c r="D85" s="3" t="s">
        <v>21</v>
      </c>
      <c r="E85" s="3" t="s">
        <v>21</v>
      </c>
      <c r="F85" s="3">
        <v>14946000</v>
      </c>
      <c r="G85" s="3">
        <v>15536000</v>
      </c>
      <c r="H85" s="3">
        <v>204022000</v>
      </c>
      <c r="I85" s="3">
        <v>198236000</v>
      </c>
      <c r="J85" s="3">
        <v>249620000</v>
      </c>
      <c r="K85" s="3">
        <v>326551000</v>
      </c>
      <c r="L85" s="3">
        <v>314629000</v>
      </c>
      <c r="M85" s="3">
        <v>344865000</v>
      </c>
      <c r="N85" s="3">
        <v>342073000</v>
      </c>
      <c r="O85" s="4" t="s">
        <v>21</v>
      </c>
      <c r="P85" s="3" t="s">
        <v>21</v>
      </c>
      <c r="Q85" s="3">
        <v>342073000</v>
      </c>
      <c r="R85" s="3" t="s">
        <v>21</v>
      </c>
      <c r="S85" s="3" t="s">
        <v>21</v>
      </c>
    </row>
    <row r="86" spans="1:19" x14ac:dyDescent="0.2">
      <c r="A86" s="2" t="s">
        <v>95</v>
      </c>
      <c r="B86" s="3" t="s">
        <v>21</v>
      </c>
      <c r="C86" s="3" t="s">
        <v>21</v>
      </c>
      <c r="D86" s="3" t="s">
        <v>21</v>
      </c>
      <c r="E86" s="3">
        <v>27319000</v>
      </c>
      <c r="F86" s="3">
        <v>94593000</v>
      </c>
      <c r="G86" s="3">
        <v>81995000</v>
      </c>
      <c r="H86" s="3">
        <v>577531000</v>
      </c>
      <c r="I86" s="3">
        <v>454375000</v>
      </c>
      <c r="J86" s="3">
        <v>385300000</v>
      </c>
      <c r="K86" s="3">
        <v>411532000</v>
      </c>
      <c r="L86" s="3">
        <v>378234000</v>
      </c>
      <c r="M86" s="3">
        <v>600118000</v>
      </c>
      <c r="N86" s="3">
        <v>462216000</v>
      </c>
      <c r="O86" s="4">
        <v>775000000</v>
      </c>
      <c r="P86" s="3">
        <v>806655000</v>
      </c>
      <c r="Q86" s="3">
        <v>462216000</v>
      </c>
      <c r="R86" s="3">
        <v>785000000</v>
      </c>
      <c r="S86" s="3">
        <v>775000000</v>
      </c>
    </row>
    <row r="87" spans="1:19"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x14ac:dyDescent="0.2">
      <c r="A89" s="2" t="s">
        <v>98</v>
      </c>
      <c r="B89" s="3">
        <v>-10431584000</v>
      </c>
      <c r="C89" s="3">
        <v>-10959914000</v>
      </c>
      <c r="D89" s="3">
        <v>-12755993000</v>
      </c>
      <c r="E89" s="3">
        <v>-13643325000</v>
      </c>
      <c r="F89" s="3">
        <v>-15486913000</v>
      </c>
      <c r="G89" s="3">
        <v>-15551136000</v>
      </c>
      <c r="H89" s="3">
        <v>-19738639000</v>
      </c>
      <c r="I89" s="3">
        <v>-22016008000</v>
      </c>
      <c r="J89" s="3">
        <v>-22106071000</v>
      </c>
      <c r="K89" s="3">
        <v>-24751953000</v>
      </c>
      <c r="L89" s="3">
        <v>-24828329000</v>
      </c>
      <c r="M89" s="3">
        <v>-26695244000</v>
      </c>
      <c r="N89" s="3">
        <v>-27417623000</v>
      </c>
      <c r="O89" s="4">
        <v>-29868000000</v>
      </c>
      <c r="P89" s="3">
        <v>-26135266000</v>
      </c>
      <c r="Q89" s="3">
        <v>-27417623000</v>
      </c>
      <c r="R89" s="3">
        <v>-28800000000</v>
      </c>
      <c r="S89" s="3">
        <v>-29868000000</v>
      </c>
    </row>
    <row r="90" spans="1:19" x14ac:dyDescent="0.2">
      <c r="A90" s="2" t="s">
        <v>99</v>
      </c>
      <c r="B90" s="3">
        <v>15770792000</v>
      </c>
      <c r="C90" s="3">
        <v>17141769000</v>
      </c>
      <c r="D90" s="3">
        <v>17816762000</v>
      </c>
      <c r="E90" s="3">
        <v>19566094000</v>
      </c>
      <c r="F90" s="3">
        <v>22009543000</v>
      </c>
      <c r="G90" s="3">
        <v>23177270000</v>
      </c>
      <c r="H90" s="3">
        <v>29372109000</v>
      </c>
      <c r="I90" s="3">
        <v>32051658000</v>
      </c>
      <c r="J90" s="3">
        <v>32218329000</v>
      </c>
      <c r="K90" s="3">
        <v>37885361000</v>
      </c>
      <c r="L90" s="3">
        <v>43282297000</v>
      </c>
      <c r="M90" s="3">
        <v>45100945000</v>
      </c>
      <c r="N90" s="3">
        <v>47990507000</v>
      </c>
      <c r="O90" s="4">
        <v>53856000000</v>
      </c>
      <c r="P90" s="3">
        <v>46337104000</v>
      </c>
      <c r="Q90" s="3">
        <v>47990507000</v>
      </c>
      <c r="R90" s="3">
        <v>51103000000</v>
      </c>
      <c r="S90" s="3">
        <v>53856000000</v>
      </c>
    </row>
    <row r="91" spans="1:19" x14ac:dyDescent="0.2">
      <c r="A91" s="2" t="s">
        <v>100</v>
      </c>
      <c r="B91" s="3">
        <v>332644000</v>
      </c>
      <c r="C91" s="3">
        <v>1362327000</v>
      </c>
      <c r="D91" s="3">
        <v>1054274000</v>
      </c>
      <c r="E91" s="3">
        <v>1260413000</v>
      </c>
      <c r="F91" s="3">
        <v>1528504000</v>
      </c>
      <c r="G91" s="3">
        <v>1710416000</v>
      </c>
      <c r="H91" s="3">
        <v>2017843000</v>
      </c>
      <c r="I91" s="3">
        <v>2301910000</v>
      </c>
      <c r="J91" s="3">
        <v>2472218000</v>
      </c>
      <c r="K91" s="3">
        <v>2786532000</v>
      </c>
      <c r="L91" s="3">
        <v>2678825000</v>
      </c>
      <c r="M91" s="3">
        <v>3415380000</v>
      </c>
      <c r="N91" s="3">
        <v>3263903000</v>
      </c>
      <c r="O91" s="4">
        <v>3955000000</v>
      </c>
      <c r="P91" s="3">
        <v>3407681000</v>
      </c>
      <c r="Q91" s="3">
        <v>3263903000</v>
      </c>
      <c r="R91" s="3">
        <v>3571000000</v>
      </c>
      <c r="S91" s="3">
        <v>3955000000</v>
      </c>
    </row>
    <row r="92" spans="1:19" x14ac:dyDescent="0.2">
      <c r="A92" s="2" t="s">
        <v>101</v>
      </c>
      <c r="B92" s="3">
        <v>132452000</v>
      </c>
      <c r="C92" s="3">
        <v>133866000</v>
      </c>
      <c r="D92" s="3">
        <v>1054274000</v>
      </c>
      <c r="E92" s="3">
        <v>1260413000</v>
      </c>
      <c r="F92" s="3">
        <v>1528504000</v>
      </c>
      <c r="G92" s="3">
        <v>1710416000</v>
      </c>
      <c r="H92" s="3">
        <v>2017843000</v>
      </c>
      <c r="I92" s="3">
        <v>2301910000</v>
      </c>
      <c r="J92" s="3">
        <v>2472218000</v>
      </c>
      <c r="K92" s="3">
        <v>2786532000</v>
      </c>
      <c r="L92" s="3">
        <v>2678825000</v>
      </c>
      <c r="M92" s="3">
        <v>3415380000</v>
      </c>
      <c r="N92" s="3">
        <v>3263903000</v>
      </c>
      <c r="O92" s="4">
        <v>3955000000</v>
      </c>
      <c r="P92" s="3">
        <v>3407681000</v>
      </c>
      <c r="Q92" s="3">
        <v>3263903000</v>
      </c>
      <c r="R92" s="3">
        <v>3571000000</v>
      </c>
      <c r="S92" s="3">
        <v>3955000000</v>
      </c>
    </row>
    <row r="93" spans="1:19"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x14ac:dyDescent="0.2">
      <c r="A95" s="2" t="s">
        <v>104</v>
      </c>
      <c r="B95" s="3">
        <v>200192000</v>
      </c>
      <c r="C95" s="3">
        <v>1228461000</v>
      </c>
      <c r="D95" s="3" t="s">
        <v>21</v>
      </c>
      <c r="E95" s="3" t="s">
        <v>21</v>
      </c>
      <c r="F95" s="3" t="s">
        <v>21</v>
      </c>
      <c r="G95" s="3" t="s">
        <v>21</v>
      </c>
      <c r="H95" s="3" t="s">
        <v>21</v>
      </c>
      <c r="I95" s="3" t="s">
        <v>21</v>
      </c>
      <c r="J95" s="3" t="s">
        <v>21</v>
      </c>
      <c r="K95" s="3" t="s">
        <v>21</v>
      </c>
      <c r="L95" s="3" t="s">
        <v>21</v>
      </c>
      <c r="M95" s="3" t="s">
        <v>21</v>
      </c>
      <c r="N95" s="3" t="s">
        <v>21</v>
      </c>
      <c r="O95" s="4" t="s">
        <v>21</v>
      </c>
      <c r="P95" s="3" t="s">
        <v>21</v>
      </c>
      <c r="Q95" s="3" t="s">
        <v>21</v>
      </c>
      <c r="R95" s="3" t="s">
        <v>21</v>
      </c>
      <c r="S95" s="3" t="s">
        <v>21</v>
      </c>
    </row>
    <row r="96" spans="1:19" x14ac:dyDescent="0.2">
      <c r="A96" s="2" t="s">
        <v>105</v>
      </c>
      <c r="B96" s="3">
        <v>100000000</v>
      </c>
      <c r="C96" s="3">
        <v>100000000</v>
      </c>
      <c r="D96" s="3">
        <v>100000000</v>
      </c>
      <c r="E96" s="3">
        <v>100000000</v>
      </c>
      <c r="F96" s="3">
        <v>100000000</v>
      </c>
      <c r="G96" s="3">
        <v>530434000</v>
      </c>
      <c r="H96" s="3">
        <v>756650000</v>
      </c>
      <c r="I96" s="3">
        <v>816132000</v>
      </c>
      <c r="J96" s="3">
        <v>455682000</v>
      </c>
      <c r="K96" s="3">
        <v>484287000</v>
      </c>
      <c r="L96" s="3">
        <v>155687000</v>
      </c>
      <c r="M96" s="3">
        <v>0</v>
      </c>
      <c r="N96" s="3">
        <v>0</v>
      </c>
      <c r="O96" s="3">
        <v>0</v>
      </c>
      <c r="P96" s="3">
        <v>0</v>
      </c>
      <c r="Q96" s="3">
        <v>0</v>
      </c>
      <c r="R96" s="3">
        <v>0</v>
      </c>
      <c r="S96" s="3">
        <v>0</v>
      </c>
    </row>
    <row r="97" spans="1:19" x14ac:dyDescent="0.2">
      <c r="A97" s="2" t="s">
        <v>106</v>
      </c>
      <c r="B97" s="3">
        <v>100000000</v>
      </c>
      <c r="C97" s="3">
        <v>100000000</v>
      </c>
      <c r="D97" s="3">
        <v>100000000</v>
      </c>
      <c r="E97" s="3">
        <v>100000000</v>
      </c>
      <c r="F97" s="3">
        <v>100000000</v>
      </c>
      <c r="G97" s="3">
        <v>530434000</v>
      </c>
      <c r="H97" s="3">
        <v>756650000</v>
      </c>
      <c r="I97" s="3">
        <v>816132000</v>
      </c>
      <c r="J97" s="3">
        <v>455682000</v>
      </c>
      <c r="K97" s="3">
        <v>484287000</v>
      </c>
      <c r="L97" s="3">
        <v>155687000</v>
      </c>
      <c r="M97" s="3" t="s">
        <v>21</v>
      </c>
      <c r="N97" s="3" t="s">
        <v>21</v>
      </c>
      <c r="O97" s="4" t="s">
        <v>21</v>
      </c>
      <c r="P97" s="3" t="s">
        <v>21</v>
      </c>
      <c r="Q97" s="3" t="s">
        <v>21</v>
      </c>
      <c r="R97" s="3" t="s">
        <v>21</v>
      </c>
      <c r="S97" s="3" t="s">
        <v>21</v>
      </c>
    </row>
    <row r="98" spans="1:19"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x14ac:dyDescent="0.2">
      <c r="A99" s="2" t="s">
        <v>108</v>
      </c>
      <c r="B99" s="3">
        <v>-432644000</v>
      </c>
      <c r="C99" s="3">
        <v>-1462327000</v>
      </c>
      <c r="D99" s="3">
        <v>-1154274000</v>
      </c>
      <c r="E99" s="3">
        <v>-1360413000</v>
      </c>
      <c r="F99" s="3">
        <v>-1628504000</v>
      </c>
      <c r="G99" s="3">
        <v>-2240850000</v>
      </c>
      <c r="H99" s="3">
        <v>-2774493000</v>
      </c>
      <c r="I99" s="3">
        <v>-3118042000</v>
      </c>
      <c r="J99" s="3">
        <v>-2927900000</v>
      </c>
      <c r="K99" s="3">
        <v>-3270819000</v>
      </c>
      <c r="L99" s="3">
        <v>-2834512000</v>
      </c>
      <c r="M99" s="3">
        <v>-3415380000</v>
      </c>
      <c r="N99" s="3">
        <v>-3263903000</v>
      </c>
      <c r="O99" s="4">
        <v>-3955000000</v>
      </c>
      <c r="P99" s="3">
        <v>-3407681000</v>
      </c>
      <c r="Q99" s="3">
        <v>-3263903000</v>
      </c>
      <c r="R99" s="3">
        <v>-3571000000</v>
      </c>
      <c r="S99" s="3">
        <v>-3955000000</v>
      </c>
    </row>
    <row r="100" spans="1:19" x14ac:dyDescent="0.2">
      <c r="A100" s="2" t="s">
        <v>109</v>
      </c>
      <c r="B100" s="3" t="s">
        <v>21</v>
      </c>
      <c r="C100" s="3" t="s">
        <v>21</v>
      </c>
      <c r="D100" s="3" t="s">
        <v>21</v>
      </c>
      <c r="E100" s="3" t="s">
        <v>21</v>
      </c>
      <c r="F100" s="3" t="s">
        <v>21</v>
      </c>
      <c r="G100" s="3" t="s">
        <v>21</v>
      </c>
      <c r="H100" s="3" t="s">
        <v>21</v>
      </c>
      <c r="I100" s="3" t="s">
        <v>21</v>
      </c>
      <c r="J100" s="3" t="s">
        <v>21</v>
      </c>
      <c r="K100" s="3" t="s">
        <v>21</v>
      </c>
      <c r="L100" s="3" t="s">
        <v>21</v>
      </c>
      <c r="M100" s="3" t="s">
        <v>21</v>
      </c>
      <c r="N100" s="3" t="s">
        <v>21</v>
      </c>
      <c r="O100" s="4" t="s">
        <v>21</v>
      </c>
      <c r="P100" s="3" t="s">
        <v>21</v>
      </c>
      <c r="Q100" s="3" t="s">
        <v>21</v>
      </c>
      <c r="R100" s="3" t="s">
        <v>21</v>
      </c>
      <c r="S100" s="3" t="s">
        <v>21</v>
      </c>
    </row>
    <row r="101" spans="1:19"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x14ac:dyDescent="0.2">
      <c r="A103" s="2" t="s">
        <v>112</v>
      </c>
      <c r="B103" s="3">
        <v>-432644000</v>
      </c>
      <c r="C103" s="3">
        <v>-1462327000</v>
      </c>
      <c r="D103" s="3">
        <v>-1154274000</v>
      </c>
      <c r="E103" s="3">
        <v>-1360413000</v>
      </c>
      <c r="F103" s="3">
        <v>-1628504000</v>
      </c>
      <c r="G103" s="3">
        <v>-2240850000</v>
      </c>
      <c r="H103" s="3">
        <v>-2774493000</v>
      </c>
      <c r="I103" s="3">
        <v>-3118042000</v>
      </c>
      <c r="J103" s="3">
        <v>-2927900000</v>
      </c>
      <c r="K103" s="3">
        <v>-3270819000</v>
      </c>
      <c r="L103" s="3">
        <v>-2834512000</v>
      </c>
      <c r="M103" s="3">
        <v>-3415380000</v>
      </c>
      <c r="N103" s="3">
        <v>-3263903000</v>
      </c>
      <c r="O103" s="4">
        <v>-3955000000</v>
      </c>
      <c r="P103" s="3">
        <v>-3407681000</v>
      </c>
      <c r="Q103" s="3">
        <v>-3263903000</v>
      </c>
      <c r="R103" s="3">
        <v>-3571000000</v>
      </c>
      <c r="S103" s="3">
        <v>-3955000000</v>
      </c>
    </row>
    <row r="104" spans="1:19" x14ac:dyDescent="0.2">
      <c r="A104" s="2" t="s">
        <v>113</v>
      </c>
      <c r="B104" s="3" t="s">
        <v>21</v>
      </c>
      <c r="C104" s="3" t="s">
        <v>21</v>
      </c>
      <c r="D104" s="3" t="s">
        <v>21</v>
      </c>
      <c r="E104" s="3" t="s">
        <v>21</v>
      </c>
      <c r="F104" s="3" t="s">
        <v>21</v>
      </c>
      <c r="G104" s="3" t="s">
        <v>21</v>
      </c>
      <c r="H104" s="3" t="s">
        <v>21</v>
      </c>
      <c r="I104" s="3" t="s">
        <v>21</v>
      </c>
      <c r="J104" s="3" t="s">
        <v>21</v>
      </c>
      <c r="K104" s="3" t="s">
        <v>21</v>
      </c>
      <c r="L104" s="3" t="s">
        <v>21</v>
      </c>
      <c r="M104" s="3" t="s">
        <v>21</v>
      </c>
      <c r="N104" s="3" t="s">
        <v>21</v>
      </c>
      <c r="O104" s="4" t="s">
        <v>21</v>
      </c>
      <c r="P104" s="3" t="s">
        <v>21</v>
      </c>
      <c r="Q104" s="3" t="s">
        <v>21</v>
      </c>
      <c r="R104" s="3" t="s">
        <v>21</v>
      </c>
      <c r="S104" s="3" t="s">
        <v>21</v>
      </c>
    </row>
    <row r="105" spans="1:19" x14ac:dyDescent="0.2">
      <c r="A105" s="2" t="s">
        <v>114</v>
      </c>
      <c r="B105" s="3">
        <v>625770000</v>
      </c>
      <c r="C105" s="3">
        <v>610486000</v>
      </c>
      <c r="D105" s="3">
        <v>300000000</v>
      </c>
      <c r="E105" s="3">
        <v>800000000</v>
      </c>
      <c r="F105" s="3">
        <v>800000000</v>
      </c>
      <c r="G105" s="3">
        <v>791306000</v>
      </c>
      <c r="H105" s="3">
        <v>1732258000</v>
      </c>
      <c r="I105" s="3">
        <v>1732884000</v>
      </c>
      <c r="J105" s="3">
        <v>1733528000</v>
      </c>
      <c r="K105" s="3">
        <v>1871626000</v>
      </c>
      <c r="L105" s="3">
        <v>2861113000</v>
      </c>
      <c r="M105" s="3">
        <v>2724394000</v>
      </c>
      <c r="N105" s="3">
        <v>2725410000</v>
      </c>
      <c r="O105" s="4">
        <v>2726000000</v>
      </c>
      <c r="P105" s="3">
        <v>2725153000</v>
      </c>
      <c r="Q105" s="3">
        <v>2725410000</v>
      </c>
      <c r="R105" s="3">
        <v>2726000000</v>
      </c>
      <c r="S105" s="3">
        <v>2726000000</v>
      </c>
    </row>
    <row r="106" spans="1:19" x14ac:dyDescent="0.2">
      <c r="A106" s="2" t="s">
        <v>115</v>
      </c>
      <c r="B106" s="3">
        <v>625770000</v>
      </c>
      <c r="C106" s="3">
        <v>610486000</v>
      </c>
      <c r="D106" s="3">
        <v>300000000</v>
      </c>
      <c r="E106" s="3">
        <v>800000000</v>
      </c>
      <c r="F106" s="3">
        <v>800000000</v>
      </c>
      <c r="G106" s="3">
        <v>791306000</v>
      </c>
      <c r="H106" s="3">
        <v>1732258000</v>
      </c>
      <c r="I106" s="3">
        <v>1732884000</v>
      </c>
      <c r="J106" s="3">
        <v>1733528000</v>
      </c>
      <c r="K106" s="3">
        <v>1871626000</v>
      </c>
      <c r="L106" s="3">
        <v>2861113000</v>
      </c>
      <c r="M106" s="3">
        <v>2724394000</v>
      </c>
      <c r="N106" s="3">
        <v>2725410000</v>
      </c>
      <c r="O106" s="4">
        <v>2726000000</v>
      </c>
      <c r="P106" s="3">
        <v>2725153000</v>
      </c>
      <c r="Q106" s="3">
        <v>2725410000</v>
      </c>
      <c r="R106" s="3">
        <v>2726000000</v>
      </c>
      <c r="S106" s="3">
        <v>2726000000</v>
      </c>
    </row>
    <row r="107" spans="1:19" x14ac:dyDescent="0.2">
      <c r="A107" s="2" t="s">
        <v>116</v>
      </c>
      <c r="B107" s="3" t="s">
        <v>21</v>
      </c>
      <c r="C107" s="3" t="s">
        <v>21</v>
      </c>
      <c r="D107" s="3" t="s">
        <v>21</v>
      </c>
      <c r="E107" s="3" t="s">
        <v>21</v>
      </c>
      <c r="F107" s="3" t="s">
        <v>21</v>
      </c>
      <c r="G107" s="3" t="s">
        <v>21</v>
      </c>
      <c r="H107" s="3" t="s">
        <v>21</v>
      </c>
      <c r="I107" s="3" t="s">
        <v>21</v>
      </c>
      <c r="J107" s="3" t="s">
        <v>21</v>
      </c>
      <c r="K107" s="3" t="s">
        <v>21</v>
      </c>
      <c r="L107" s="3" t="s">
        <v>21</v>
      </c>
      <c r="M107" s="3" t="s">
        <v>21</v>
      </c>
      <c r="N107" s="3" t="s">
        <v>21</v>
      </c>
      <c r="O107" s="4" t="s">
        <v>21</v>
      </c>
      <c r="P107" s="3" t="s">
        <v>21</v>
      </c>
      <c r="Q107" s="3" t="s">
        <v>21</v>
      </c>
      <c r="R107" s="3" t="s">
        <v>21</v>
      </c>
      <c r="S107" s="3" t="s">
        <v>21</v>
      </c>
    </row>
    <row r="108" spans="1:19" x14ac:dyDescent="0.2">
      <c r="A108" s="2" t="s">
        <v>117</v>
      </c>
      <c r="B108" s="3">
        <v>-625770000</v>
      </c>
      <c r="C108" s="3">
        <v>-610486000</v>
      </c>
      <c r="D108" s="3">
        <v>-300000000</v>
      </c>
      <c r="E108" s="3">
        <v>-800000000</v>
      </c>
      <c r="F108" s="3">
        <v>-800000000</v>
      </c>
      <c r="G108" s="3">
        <v>-791306000</v>
      </c>
      <c r="H108" s="3">
        <v>-1732258000</v>
      </c>
      <c r="I108" s="3">
        <v>-1732884000</v>
      </c>
      <c r="J108" s="3">
        <v>-1733528000</v>
      </c>
      <c r="K108" s="3">
        <v>-1871626000</v>
      </c>
      <c r="L108" s="3">
        <v>-2861113000</v>
      </c>
      <c r="M108" s="3">
        <v>-2724394000</v>
      </c>
      <c r="N108" s="3">
        <v>-2725410000</v>
      </c>
      <c r="O108" s="4">
        <v>-2726000000</v>
      </c>
      <c r="P108" s="3">
        <v>-2725153000</v>
      </c>
      <c r="Q108" s="3">
        <v>-2725410000</v>
      </c>
      <c r="R108" s="3">
        <v>-2726000000</v>
      </c>
      <c r="S108" s="3">
        <v>-2726000000</v>
      </c>
    </row>
    <row r="109" spans="1:19" x14ac:dyDescent="0.2">
      <c r="A109" s="2" t="s">
        <v>118</v>
      </c>
      <c r="B109" s="3" t="s">
        <v>21</v>
      </c>
      <c r="C109" s="3" t="s">
        <v>21</v>
      </c>
      <c r="D109" s="3" t="s">
        <v>21</v>
      </c>
      <c r="E109" s="3" t="s">
        <v>21</v>
      </c>
      <c r="F109" s="3" t="s">
        <v>21</v>
      </c>
      <c r="G109" s="3" t="s">
        <v>21</v>
      </c>
      <c r="H109" s="3" t="s">
        <v>21</v>
      </c>
      <c r="I109" s="3" t="s">
        <v>21</v>
      </c>
      <c r="J109" s="3" t="s">
        <v>21</v>
      </c>
      <c r="K109" s="3" t="s">
        <v>21</v>
      </c>
      <c r="L109" s="3" t="s">
        <v>21</v>
      </c>
      <c r="M109" s="3" t="s">
        <v>21</v>
      </c>
      <c r="N109" s="3" t="s">
        <v>21</v>
      </c>
      <c r="O109" s="4" t="s">
        <v>21</v>
      </c>
      <c r="P109" s="3" t="s">
        <v>21</v>
      </c>
      <c r="Q109" s="3" t="s">
        <v>21</v>
      </c>
      <c r="R109" s="3" t="s">
        <v>21</v>
      </c>
      <c r="S109" s="3" t="s">
        <v>21</v>
      </c>
    </row>
    <row r="110" spans="1:19"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x14ac:dyDescent="0.2">
      <c r="A114" s="2" t="s">
        <v>120</v>
      </c>
      <c r="B114" s="3">
        <v>-625770000</v>
      </c>
      <c r="C114" s="3">
        <v>-610486000</v>
      </c>
      <c r="D114" s="3">
        <v>-300000000</v>
      </c>
      <c r="E114" s="3">
        <v>-800000000</v>
      </c>
      <c r="F114" s="3">
        <v>-800000000</v>
      </c>
      <c r="G114" s="3">
        <v>-791306000</v>
      </c>
      <c r="H114" s="3">
        <v>-1732258000</v>
      </c>
      <c r="I114" s="3">
        <v>-1732884000</v>
      </c>
      <c r="J114" s="3">
        <v>-1733528000</v>
      </c>
      <c r="K114" s="3">
        <v>-1871626000</v>
      </c>
      <c r="L114" s="3">
        <v>-2861113000</v>
      </c>
      <c r="M114" s="3">
        <v>-2724394000</v>
      </c>
      <c r="N114" s="3">
        <v>-2725410000</v>
      </c>
      <c r="O114" s="4">
        <v>-2726000000</v>
      </c>
      <c r="P114" s="3">
        <v>-2725153000</v>
      </c>
      <c r="Q114" s="3">
        <v>-2725410000</v>
      </c>
      <c r="R114" s="3">
        <v>-2726000000</v>
      </c>
      <c r="S114" s="3">
        <v>-2726000000</v>
      </c>
    </row>
    <row r="115" spans="1:19" x14ac:dyDescent="0.2">
      <c r="A115" s="2" t="s">
        <v>121</v>
      </c>
      <c r="B115" s="3" t="s">
        <v>21</v>
      </c>
      <c r="C115" s="3" t="s">
        <v>21</v>
      </c>
      <c r="D115" s="3" t="s">
        <v>21</v>
      </c>
      <c r="E115" s="3" t="s">
        <v>21</v>
      </c>
      <c r="F115" s="3" t="s">
        <v>21</v>
      </c>
      <c r="G115" s="3" t="s">
        <v>21</v>
      </c>
      <c r="H115" s="3" t="s">
        <v>21</v>
      </c>
      <c r="I115" s="3" t="s">
        <v>21</v>
      </c>
      <c r="J115" s="3" t="s">
        <v>21</v>
      </c>
      <c r="K115" s="3" t="s">
        <v>21</v>
      </c>
      <c r="L115" s="3" t="s">
        <v>21</v>
      </c>
      <c r="M115" s="3" t="s">
        <v>21</v>
      </c>
      <c r="N115" s="3" t="s">
        <v>21</v>
      </c>
      <c r="O115" s="4" t="s">
        <v>21</v>
      </c>
      <c r="P115" s="3" t="s">
        <v>21</v>
      </c>
      <c r="Q115" s="3" t="s">
        <v>21</v>
      </c>
      <c r="R115" s="3" t="s">
        <v>21</v>
      </c>
      <c r="S115" s="3" t="s">
        <v>21</v>
      </c>
    </row>
    <row r="116" spans="1:19" x14ac:dyDescent="0.2">
      <c r="A116" s="2" t="s">
        <v>122</v>
      </c>
      <c r="B116" s="3">
        <v>11257789000</v>
      </c>
      <c r="C116" s="3">
        <v>12513283000</v>
      </c>
      <c r="D116" s="3">
        <v>12647884000</v>
      </c>
      <c r="E116" s="3">
        <v>13918598000</v>
      </c>
      <c r="F116" s="3">
        <v>14890897000</v>
      </c>
      <c r="G116" s="3">
        <v>16028376000</v>
      </c>
      <c r="H116" s="3">
        <v>20060984000</v>
      </c>
      <c r="I116" s="3">
        <v>21805723000</v>
      </c>
      <c r="J116" s="3">
        <v>21780650000</v>
      </c>
      <c r="K116" s="3">
        <v>25569809000</v>
      </c>
      <c r="L116" s="3">
        <v>29294856000</v>
      </c>
      <c r="M116" s="3">
        <v>31545816000</v>
      </c>
      <c r="N116" s="3">
        <v>35069605000</v>
      </c>
      <c r="O116" s="4">
        <v>39213000000</v>
      </c>
      <c r="P116" s="3">
        <v>34533086000</v>
      </c>
      <c r="Q116" s="3">
        <v>35069605000</v>
      </c>
      <c r="R116" s="3">
        <v>37104000000</v>
      </c>
      <c r="S116" s="3">
        <v>39213000000</v>
      </c>
    </row>
    <row r="117" spans="1:19" x14ac:dyDescent="0.2">
      <c r="A117" s="2" t="s">
        <v>123</v>
      </c>
      <c r="B117" s="3">
        <v>325000000</v>
      </c>
      <c r="C117" s="3">
        <v>325000000</v>
      </c>
      <c r="D117" s="3">
        <v>325000000</v>
      </c>
      <c r="E117" s="3">
        <v>325000000</v>
      </c>
      <c r="F117" s="3">
        <v>325000000</v>
      </c>
      <c r="G117" s="3">
        <v>325000000</v>
      </c>
      <c r="H117" s="3">
        <v>1873859000</v>
      </c>
      <c r="I117" s="3">
        <v>1362182000</v>
      </c>
      <c r="J117" s="3">
        <v>780000000</v>
      </c>
      <c r="K117" s="3">
        <v>780000000</v>
      </c>
      <c r="L117" s="3">
        <v>780000000</v>
      </c>
      <c r="M117" s="3">
        <v>830000000</v>
      </c>
      <c r="N117" s="3">
        <v>830000000</v>
      </c>
      <c r="O117" s="4">
        <v>830000000</v>
      </c>
      <c r="P117" s="3">
        <v>830000000</v>
      </c>
      <c r="Q117" s="3">
        <v>830000000</v>
      </c>
      <c r="R117" s="3">
        <v>830000000</v>
      </c>
      <c r="S117" s="3">
        <v>830000000</v>
      </c>
    </row>
    <row r="118" spans="1:19" x14ac:dyDescent="0.2">
      <c r="A118" s="2" t="s">
        <v>124</v>
      </c>
      <c r="B118" s="3">
        <v>110859000</v>
      </c>
      <c r="C118" s="3">
        <v>161968000</v>
      </c>
      <c r="D118" s="3">
        <v>228339000</v>
      </c>
      <c r="E118" s="3">
        <v>300082000</v>
      </c>
      <c r="F118" s="3">
        <v>383645000</v>
      </c>
      <c r="G118" s="3">
        <v>467916000</v>
      </c>
      <c r="H118" s="3">
        <v>532269000</v>
      </c>
      <c r="I118" s="3">
        <v>1231228000</v>
      </c>
      <c r="J118" s="3">
        <v>1794415000</v>
      </c>
      <c r="K118" s="3">
        <v>1890321000</v>
      </c>
      <c r="L118" s="3">
        <v>1978437000</v>
      </c>
      <c r="M118" s="3">
        <v>2085723000</v>
      </c>
      <c r="N118" s="3">
        <v>2212098000</v>
      </c>
      <c r="O118" s="4">
        <v>2279000000</v>
      </c>
      <c r="P118" s="3">
        <v>2187251000</v>
      </c>
      <c r="Q118" s="3">
        <v>2212098000</v>
      </c>
      <c r="R118" s="3">
        <v>2261000000</v>
      </c>
      <c r="S118" s="3">
        <v>2279000000</v>
      </c>
    </row>
    <row r="119" spans="1:19" x14ac:dyDescent="0.2">
      <c r="A119" s="2" t="s">
        <v>125</v>
      </c>
      <c r="B119" s="3">
        <v>534000</v>
      </c>
      <c r="C119" s="3">
        <v>549000</v>
      </c>
      <c r="D119" s="3">
        <v>561000</v>
      </c>
      <c r="E119" s="3">
        <v>565000</v>
      </c>
      <c r="F119" s="3">
        <v>572000</v>
      </c>
      <c r="G119" s="3">
        <v>577000</v>
      </c>
      <c r="H119" s="3">
        <v>582000</v>
      </c>
      <c r="I119" s="3">
        <v>611000</v>
      </c>
      <c r="J119" s="3">
        <v>634000</v>
      </c>
      <c r="K119" s="3">
        <v>638000</v>
      </c>
      <c r="L119" s="3">
        <v>643000</v>
      </c>
      <c r="M119" s="3">
        <v>648000</v>
      </c>
      <c r="N119" s="3">
        <v>654000</v>
      </c>
      <c r="O119" s="4">
        <v>1000000</v>
      </c>
      <c r="P119" s="3">
        <v>652000</v>
      </c>
      <c r="Q119" s="3">
        <v>654000</v>
      </c>
      <c r="R119" s="3">
        <v>1000000</v>
      </c>
      <c r="S119" s="3">
        <v>1000000</v>
      </c>
    </row>
    <row r="120" spans="1:19" x14ac:dyDescent="0.2">
      <c r="A120" s="2" t="s">
        <v>126</v>
      </c>
      <c r="B120" s="3">
        <v>110325000</v>
      </c>
      <c r="C120" s="3">
        <v>161419000</v>
      </c>
      <c r="D120" s="3">
        <v>227778000</v>
      </c>
      <c r="E120" s="3">
        <v>299517000</v>
      </c>
      <c r="F120" s="3">
        <v>383073000</v>
      </c>
      <c r="G120" s="3">
        <v>467339000</v>
      </c>
      <c r="H120" s="3">
        <v>531687000</v>
      </c>
      <c r="I120" s="3">
        <v>1230617000</v>
      </c>
      <c r="J120" s="3">
        <v>1793781000</v>
      </c>
      <c r="K120" s="3">
        <v>1889683000</v>
      </c>
      <c r="L120" s="3">
        <v>1977794000</v>
      </c>
      <c r="M120" s="3">
        <v>2085075000</v>
      </c>
      <c r="N120" s="3">
        <v>2211444000</v>
      </c>
      <c r="O120" s="4">
        <v>2278000000</v>
      </c>
      <c r="P120" s="3">
        <v>2186599000</v>
      </c>
      <c r="Q120" s="3">
        <v>2211444000</v>
      </c>
      <c r="R120" s="3">
        <v>2260000000</v>
      </c>
      <c r="S120" s="3">
        <v>2278000000</v>
      </c>
    </row>
    <row r="121" spans="1:19" x14ac:dyDescent="0.2">
      <c r="A121" s="2" t="s">
        <v>127</v>
      </c>
      <c r="B121" s="3">
        <v>549912000</v>
      </c>
      <c r="C121" s="3">
        <v>845472000</v>
      </c>
      <c r="D121" s="3">
        <v>1025839000</v>
      </c>
      <c r="E121" s="3">
        <v>1094704000</v>
      </c>
      <c r="F121" s="3">
        <v>1562019000</v>
      </c>
      <c r="G121" s="3">
        <v>1941904000</v>
      </c>
      <c r="H121" s="3">
        <v>2034570000</v>
      </c>
      <c r="I121" s="3">
        <v>2077741000</v>
      </c>
      <c r="J121" s="3">
        <v>2382167000</v>
      </c>
      <c r="K121" s="3">
        <v>2406047000</v>
      </c>
      <c r="L121" s="3">
        <v>2503909000</v>
      </c>
      <c r="M121" s="3">
        <v>3761095000</v>
      </c>
      <c r="N121" s="3">
        <v>4377920000</v>
      </c>
      <c r="O121" s="4">
        <v>4407000000</v>
      </c>
      <c r="P121" s="3">
        <v>4372875000</v>
      </c>
      <c r="Q121" s="3">
        <v>4377920000</v>
      </c>
      <c r="R121" s="3">
        <v>4403000000</v>
      </c>
      <c r="S121" s="3">
        <v>4407000000</v>
      </c>
    </row>
    <row r="122" spans="1:19" x14ac:dyDescent="0.2">
      <c r="A122" s="2" t="s">
        <v>128</v>
      </c>
      <c r="B122" s="3">
        <v>4422553000</v>
      </c>
      <c r="C122" s="3">
        <v>4833067000</v>
      </c>
      <c r="D122" s="3">
        <v>5354361000</v>
      </c>
      <c r="E122" s="3">
        <v>6042154000</v>
      </c>
      <c r="F122" s="3">
        <v>6854571000</v>
      </c>
      <c r="G122" s="3">
        <v>7370371000</v>
      </c>
      <c r="H122" s="3">
        <v>7996701000</v>
      </c>
      <c r="I122" s="3">
        <v>8562889000</v>
      </c>
      <c r="J122" s="3">
        <v>9426299000</v>
      </c>
      <c r="K122" s="3">
        <v>11021006000</v>
      </c>
      <c r="L122" s="3">
        <v>12362463000</v>
      </c>
      <c r="M122" s="3">
        <v>14455868000</v>
      </c>
      <c r="N122" s="3">
        <v>15892065000</v>
      </c>
      <c r="O122" s="4">
        <v>17258000000</v>
      </c>
      <c r="P122" s="3">
        <v>15042561000</v>
      </c>
      <c r="Q122" s="3">
        <v>15892065000</v>
      </c>
      <c r="R122" s="3">
        <v>16597000000</v>
      </c>
      <c r="S122" s="3">
        <v>17258000000</v>
      </c>
    </row>
    <row r="123" spans="1:19" x14ac:dyDescent="0.2">
      <c r="A123" s="2" t="s">
        <v>129</v>
      </c>
      <c r="B123" s="3">
        <v>204503000</v>
      </c>
      <c r="C123" s="3">
        <v>153923000</v>
      </c>
      <c r="D123" s="3">
        <v>287017000</v>
      </c>
      <c r="E123" s="3">
        <v>74964000</v>
      </c>
      <c r="F123" s="3">
        <v>128856000</v>
      </c>
      <c r="G123" s="3">
        <v>-16502000</v>
      </c>
      <c r="H123" s="3">
        <v>-114541000</v>
      </c>
      <c r="I123" s="3">
        <v>118044000</v>
      </c>
      <c r="J123" s="3">
        <v>-178720000</v>
      </c>
      <c r="K123" s="3">
        <v>212091000</v>
      </c>
      <c r="L123" s="3">
        <v>488895000</v>
      </c>
      <c r="M123" s="3">
        <v>-64600000</v>
      </c>
      <c r="N123" s="3">
        <v>-1646170000</v>
      </c>
      <c r="O123" s="4">
        <v>-1319000000</v>
      </c>
      <c r="P123" s="3">
        <v>-1891827000</v>
      </c>
      <c r="Q123" s="3">
        <v>-1646170000</v>
      </c>
      <c r="R123" s="3">
        <v>-1297000000</v>
      </c>
      <c r="S123" s="3">
        <v>-1319000000</v>
      </c>
    </row>
    <row r="124" spans="1:19" x14ac:dyDescent="0.2">
      <c r="A124" s="2" t="s">
        <v>130</v>
      </c>
      <c r="B124" s="3">
        <v>4513003000</v>
      </c>
      <c r="C124" s="3">
        <v>4628486000</v>
      </c>
      <c r="D124" s="3">
        <v>5168878000</v>
      </c>
      <c r="E124" s="3">
        <v>5647496000</v>
      </c>
      <c r="F124" s="3">
        <v>6130053000</v>
      </c>
      <c r="G124" s="3">
        <v>6204881000</v>
      </c>
      <c r="H124" s="3">
        <v>8253718000</v>
      </c>
      <c r="I124" s="3">
        <v>9196602000</v>
      </c>
      <c r="J124" s="3">
        <v>9439827000</v>
      </c>
      <c r="K124" s="3">
        <v>11497371000</v>
      </c>
      <c r="L124" s="3">
        <v>13105886000</v>
      </c>
      <c r="M124" s="3">
        <v>13545896000</v>
      </c>
      <c r="N124" s="3">
        <v>12910073000</v>
      </c>
      <c r="O124" s="4">
        <v>14641000000</v>
      </c>
      <c r="P124" s="3">
        <v>11795110000</v>
      </c>
      <c r="Q124" s="3">
        <v>12910073000</v>
      </c>
      <c r="R124" s="3">
        <v>13988000000</v>
      </c>
      <c r="S124" s="3">
        <v>14641000000</v>
      </c>
    </row>
    <row r="125" spans="1:19" x14ac:dyDescent="0.2">
      <c r="A125" s="2" t="s">
        <v>131</v>
      </c>
      <c r="B125" s="3" t="s">
        <v>21</v>
      </c>
      <c r="C125" s="3" t="s">
        <v>21</v>
      </c>
      <c r="D125" s="3" t="s">
        <v>21</v>
      </c>
      <c r="E125" s="3" t="s">
        <v>21</v>
      </c>
      <c r="F125" s="3">
        <v>988593000</v>
      </c>
      <c r="G125" s="3">
        <v>944013000</v>
      </c>
      <c r="H125" s="3">
        <v>1057407000</v>
      </c>
      <c r="I125" s="3">
        <v>1049333000</v>
      </c>
      <c r="J125" s="3">
        <v>997852000</v>
      </c>
      <c r="K125" s="3">
        <v>818181000</v>
      </c>
      <c r="L125" s="3">
        <v>881555000</v>
      </c>
      <c r="M125" s="3">
        <v>9233000</v>
      </c>
      <c r="N125" s="3">
        <v>10829000</v>
      </c>
      <c r="O125" s="4">
        <v>2000000</v>
      </c>
      <c r="P125" s="3">
        <v>8908000</v>
      </c>
      <c r="Q125" s="3">
        <v>10829000</v>
      </c>
      <c r="R125" s="3">
        <v>11000000</v>
      </c>
      <c r="S125" s="3">
        <v>2000000</v>
      </c>
    </row>
    <row r="126" spans="1:19" x14ac:dyDescent="0.2">
      <c r="A126" s="2" t="s">
        <v>132</v>
      </c>
      <c r="B126" s="3">
        <v>4513003000</v>
      </c>
      <c r="C126" s="3">
        <v>4628486000</v>
      </c>
      <c r="D126" s="3">
        <v>5168878000</v>
      </c>
      <c r="E126" s="3">
        <v>5647496000</v>
      </c>
      <c r="F126" s="3">
        <v>7118646000</v>
      </c>
      <c r="G126" s="3">
        <v>7148894000</v>
      </c>
      <c r="H126" s="3">
        <v>9311125000</v>
      </c>
      <c r="I126" s="3">
        <v>10245935000</v>
      </c>
      <c r="J126" s="3">
        <v>10437679000</v>
      </c>
      <c r="K126" s="3">
        <v>12315552000</v>
      </c>
      <c r="L126" s="3">
        <v>13987441000</v>
      </c>
      <c r="M126" s="3">
        <v>13555129000</v>
      </c>
      <c r="N126" s="3">
        <v>12920902000</v>
      </c>
      <c r="O126" s="4">
        <v>14643000000</v>
      </c>
      <c r="P126" s="3">
        <v>11804018000</v>
      </c>
      <c r="Q126" s="3">
        <v>12920902000</v>
      </c>
      <c r="R126" s="3">
        <v>13999000000</v>
      </c>
      <c r="S126" s="3">
        <v>14643000000</v>
      </c>
    </row>
    <row r="127" spans="1:19" x14ac:dyDescent="0.2">
      <c r="A127" s="2" t="s">
        <v>133</v>
      </c>
      <c r="B127" s="3">
        <v>15770792000</v>
      </c>
      <c r="C127" s="3">
        <v>17141769000</v>
      </c>
      <c r="D127" s="3">
        <v>17816762000</v>
      </c>
      <c r="E127" s="3">
        <v>19566094000</v>
      </c>
      <c r="F127" s="3">
        <v>22009543000</v>
      </c>
      <c r="G127" s="3">
        <v>23177270000</v>
      </c>
      <c r="H127" s="3">
        <v>29372109000</v>
      </c>
      <c r="I127" s="3">
        <v>32051658000</v>
      </c>
      <c r="J127" s="3">
        <v>32218329000</v>
      </c>
      <c r="K127" s="3">
        <v>37885361000</v>
      </c>
      <c r="L127" s="3">
        <v>43282297000</v>
      </c>
      <c r="M127" s="3">
        <v>45100945000</v>
      </c>
      <c r="N127" s="3">
        <v>47990507000</v>
      </c>
      <c r="O127" s="4">
        <v>53856000000</v>
      </c>
      <c r="P127" s="3">
        <v>46337104000</v>
      </c>
      <c r="Q127" s="3">
        <v>47990507000</v>
      </c>
      <c r="R127" s="3">
        <v>51103000000</v>
      </c>
      <c r="S127" s="3">
        <v>53856000000</v>
      </c>
    </row>
    <row r="128" spans="1:19" x14ac:dyDescent="0.2">
      <c r="A128" s="32" t="s">
        <v>134</v>
      </c>
      <c r="B128" s="30">
        <v>418896675</v>
      </c>
      <c r="C128" s="30">
        <v>403075035</v>
      </c>
      <c r="D128" s="30">
        <v>401527839</v>
      </c>
      <c r="E128" s="30">
        <v>401024652</v>
      </c>
      <c r="F128" s="30">
        <v>382103802</v>
      </c>
      <c r="G128" s="30">
        <v>367883349</v>
      </c>
      <c r="H128" s="30">
        <v>368362551</v>
      </c>
      <c r="I128" s="30">
        <v>392933817</v>
      </c>
      <c r="J128" s="30">
        <v>402454834</v>
      </c>
      <c r="K128" s="30">
        <v>405619201</v>
      </c>
      <c r="L128" s="30">
        <v>406720642</v>
      </c>
      <c r="M128" s="30">
        <v>378923894</v>
      </c>
      <c r="N128" s="30">
        <v>370345997</v>
      </c>
      <c r="O128" s="31">
        <v>372900000</v>
      </c>
      <c r="P128" s="30">
        <v>369321990</v>
      </c>
      <c r="Q128" s="30">
        <v>370345997</v>
      </c>
      <c r="R128" s="30">
        <v>372200000</v>
      </c>
      <c r="S128" s="30">
        <v>372900000</v>
      </c>
    </row>
    <row r="129" spans="1:30" ht="19" x14ac:dyDescent="0.25">
      <c r="A129" s="15" t="s">
        <v>197</v>
      </c>
      <c r="B129" s="10"/>
      <c r="C129" s="11">
        <f>(C128/B128)-1</f>
        <v>-3.7769791321451751E-2</v>
      </c>
      <c r="D129" s="11">
        <f>(D128/C128)-1</f>
        <v>-3.8384813388405714E-3</v>
      </c>
      <c r="E129" s="11">
        <f>(E128/D128)-1</f>
        <v>-1.2531808535447553E-3</v>
      </c>
      <c r="F129" s="11">
        <f t="shared" ref="F129:N129" si="6">(F128/E128)-1</f>
        <v>-4.7181264058549721E-2</v>
      </c>
      <c r="G129" s="11">
        <f t="shared" si="6"/>
        <v>-3.7216203883781329E-2</v>
      </c>
      <c r="H129" s="11">
        <f t="shared" si="6"/>
        <v>1.3025922518716815E-3</v>
      </c>
      <c r="I129" s="11">
        <f t="shared" si="6"/>
        <v>6.6704028227885681E-2</v>
      </c>
      <c r="J129" s="11">
        <f t="shared" si="6"/>
        <v>2.4230586903137397E-2</v>
      </c>
      <c r="K129" s="11">
        <f t="shared" si="6"/>
        <v>7.8626636647629589E-3</v>
      </c>
      <c r="L129" s="11">
        <f t="shared" si="6"/>
        <v>2.7154557705466598E-3</v>
      </c>
      <c r="M129" s="11">
        <f t="shared" si="6"/>
        <v>-6.8343588029643243E-2</v>
      </c>
      <c r="N129" s="11">
        <f t="shared" si="6"/>
        <v>-2.2637519395913297E-2</v>
      </c>
      <c r="O129" s="11">
        <f>(O128/N128)-1</f>
        <v>6.8962619298946759E-3</v>
      </c>
      <c r="P129" s="11"/>
      <c r="Q129" s="11">
        <f>(Q128/P128)-1</f>
        <v>2.7726672868841895E-3</v>
      </c>
      <c r="R129" s="11">
        <f>(R128/Q128)-1</f>
        <v>5.0061375444001577E-3</v>
      </c>
      <c r="S129" s="11">
        <f>(S128/R128)-1</f>
        <v>1.8807092960773097E-3</v>
      </c>
      <c r="T129" s="12"/>
      <c r="U129" s="12"/>
      <c r="V129" s="12"/>
      <c r="W129" s="12"/>
      <c r="X129" s="12"/>
      <c r="Y129" s="12"/>
      <c r="Z129" s="12"/>
      <c r="AA129" s="13"/>
      <c r="AB129" s="13"/>
      <c r="AC129" s="13"/>
      <c r="AD129" s="13"/>
    </row>
    <row r="130" spans="1:30" x14ac:dyDescent="0.2">
      <c r="A130" s="2" t="s">
        <v>135</v>
      </c>
      <c r="B130" s="3" t="s">
        <v>21</v>
      </c>
      <c r="C130" s="3" t="s">
        <v>21</v>
      </c>
      <c r="D130" s="3" t="s">
        <v>21</v>
      </c>
      <c r="E130" s="3" t="s">
        <v>21</v>
      </c>
      <c r="F130" s="3" t="s">
        <v>21</v>
      </c>
      <c r="G130" s="3" t="s">
        <v>21</v>
      </c>
      <c r="H130" s="3" t="s">
        <v>21</v>
      </c>
      <c r="I130" s="3" t="s">
        <v>21</v>
      </c>
      <c r="J130" s="3" t="s">
        <v>21</v>
      </c>
      <c r="K130" s="3" t="s">
        <v>21</v>
      </c>
      <c r="L130" s="3" t="s">
        <v>21</v>
      </c>
      <c r="M130" s="3" t="s">
        <v>21</v>
      </c>
      <c r="N130" s="3" t="s">
        <v>21</v>
      </c>
      <c r="O130" s="4" t="s">
        <v>21</v>
      </c>
      <c r="P130" s="3" t="s">
        <v>21</v>
      </c>
      <c r="Q130" s="3" t="s">
        <v>21</v>
      </c>
      <c r="R130" s="3" t="s">
        <v>21</v>
      </c>
      <c r="S130" s="3" t="s">
        <v>21</v>
      </c>
    </row>
    <row r="131" spans="1:30" x14ac:dyDescent="0.2">
      <c r="A131" s="2" t="s">
        <v>136</v>
      </c>
      <c r="B131" s="3">
        <v>363030000</v>
      </c>
      <c r="C131" s="3">
        <v>358787000</v>
      </c>
      <c r="D131" s="3">
        <v>28959000</v>
      </c>
      <c r="E131" s="3">
        <v>465943000</v>
      </c>
      <c r="F131" s="3">
        <v>414298000</v>
      </c>
      <c r="G131" s="3">
        <v>768414000</v>
      </c>
      <c r="H131" s="3">
        <v>1645966000</v>
      </c>
      <c r="I131" s="3">
        <v>1942817000</v>
      </c>
      <c r="J131" s="3">
        <v>1542654000</v>
      </c>
      <c r="K131" s="3">
        <v>1629683000</v>
      </c>
      <c r="L131" s="3">
        <v>2110352000</v>
      </c>
      <c r="M131" s="3">
        <v>1865726000</v>
      </c>
      <c r="N131" s="3">
        <v>1870292000</v>
      </c>
      <c r="O131" s="4">
        <v>1822000000</v>
      </c>
      <c r="P131" s="3">
        <v>1911570000</v>
      </c>
      <c r="Q131" s="3">
        <v>1870292000</v>
      </c>
      <c r="R131" s="3">
        <v>1923000000</v>
      </c>
      <c r="S131" s="3">
        <v>1822000000</v>
      </c>
    </row>
    <row r="132" spans="1:30" x14ac:dyDescent="0.2">
      <c r="A132" s="2" t="s">
        <v>137</v>
      </c>
      <c r="B132" s="5">
        <v>8.0399999999999991</v>
      </c>
      <c r="C132" s="5">
        <v>7.75</v>
      </c>
      <c r="D132" s="5">
        <v>0.56000000000000005</v>
      </c>
      <c r="E132" s="5">
        <v>8.25</v>
      </c>
      <c r="F132" s="5">
        <v>5.82</v>
      </c>
      <c r="G132" s="5">
        <v>10.75</v>
      </c>
      <c r="H132" s="5">
        <v>17.68</v>
      </c>
      <c r="I132" s="5">
        <v>18.96</v>
      </c>
      <c r="J132" s="5">
        <v>14.78</v>
      </c>
      <c r="K132" s="5">
        <v>13.23</v>
      </c>
      <c r="L132" s="5">
        <v>15.09</v>
      </c>
      <c r="M132" s="5">
        <v>13.76</v>
      </c>
      <c r="N132" s="5">
        <v>14.47</v>
      </c>
      <c r="O132" s="6">
        <v>12.44</v>
      </c>
      <c r="P132" s="5">
        <v>16.190000000000001</v>
      </c>
      <c r="Q132" s="5">
        <v>14.47</v>
      </c>
      <c r="R132" s="5">
        <v>13.74</v>
      </c>
      <c r="S132" s="5">
        <v>12.44</v>
      </c>
    </row>
    <row r="133" spans="1:30" x14ac:dyDescent="0.2">
      <c r="A133" s="2" t="s">
        <v>138</v>
      </c>
      <c r="B133" s="5">
        <v>26.56</v>
      </c>
      <c r="C133" s="5">
        <v>25.11</v>
      </c>
      <c r="D133" s="5">
        <v>27.19</v>
      </c>
      <c r="E133" s="5">
        <v>27.1</v>
      </c>
      <c r="F133" s="5">
        <v>30.52</v>
      </c>
      <c r="G133" s="5">
        <v>29.14</v>
      </c>
      <c r="H133" s="5">
        <v>23.28</v>
      </c>
      <c r="I133" s="5">
        <v>26.21</v>
      </c>
      <c r="J133" s="5">
        <v>28.57</v>
      </c>
      <c r="K133" s="5">
        <v>29.07</v>
      </c>
      <c r="L133" s="5">
        <v>29.38</v>
      </c>
      <c r="M133" s="5">
        <v>26.68</v>
      </c>
      <c r="N133" s="5">
        <v>23.92</v>
      </c>
      <c r="O133" s="6">
        <v>24.56</v>
      </c>
      <c r="P133" s="5">
        <v>22.33</v>
      </c>
      <c r="Q133" s="5">
        <v>23.92</v>
      </c>
      <c r="R133" s="5">
        <v>24.61</v>
      </c>
      <c r="S133" s="5">
        <v>24.56</v>
      </c>
    </row>
    <row r="134" spans="1:30" x14ac:dyDescent="0.2">
      <c r="A134" s="2" t="s">
        <v>139</v>
      </c>
      <c r="B134" s="3" t="s">
        <v>21</v>
      </c>
      <c r="C134" s="3" t="s">
        <v>21</v>
      </c>
      <c r="D134" s="3" t="s">
        <v>21</v>
      </c>
      <c r="E134" s="3" t="s">
        <v>21</v>
      </c>
      <c r="F134" s="3" t="s">
        <v>21</v>
      </c>
      <c r="G134" s="3" t="s">
        <v>21</v>
      </c>
      <c r="H134" s="3" t="s">
        <v>21</v>
      </c>
      <c r="I134" s="3" t="s">
        <v>21</v>
      </c>
      <c r="J134" s="3" t="s">
        <v>21</v>
      </c>
      <c r="K134" s="3" t="s">
        <v>21</v>
      </c>
      <c r="L134" s="3" t="s">
        <v>21</v>
      </c>
      <c r="M134" s="3" t="s">
        <v>21</v>
      </c>
      <c r="N134" s="3" t="s">
        <v>21</v>
      </c>
      <c r="O134" s="4" t="s">
        <v>21</v>
      </c>
      <c r="P134" s="3" t="s">
        <v>21</v>
      </c>
      <c r="Q134" s="3" t="s">
        <v>21</v>
      </c>
      <c r="R134" s="3" t="s">
        <v>21</v>
      </c>
      <c r="S134" s="3" t="s">
        <v>21</v>
      </c>
    </row>
    <row r="135" spans="1:30" x14ac:dyDescent="0.2">
      <c r="A135" s="2" t="s">
        <v>140</v>
      </c>
      <c r="B135" s="3" t="s">
        <v>21</v>
      </c>
      <c r="C135" s="3" t="s">
        <v>21</v>
      </c>
      <c r="D135" s="3" t="s">
        <v>21</v>
      </c>
      <c r="E135" s="3" t="s">
        <v>21</v>
      </c>
      <c r="F135" s="3" t="s">
        <v>21</v>
      </c>
      <c r="G135" s="3" t="s">
        <v>21</v>
      </c>
      <c r="H135" s="3" t="s">
        <v>21</v>
      </c>
      <c r="I135" s="3" t="s">
        <v>21</v>
      </c>
      <c r="J135" s="3" t="s">
        <v>21</v>
      </c>
      <c r="K135" s="3" t="s">
        <v>21</v>
      </c>
      <c r="L135" s="3" t="s">
        <v>21</v>
      </c>
      <c r="M135" s="3" t="s">
        <v>21</v>
      </c>
      <c r="N135" s="3" t="s">
        <v>21</v>
      </c>
      <c r="O135" s="4" t="s">
        <v>21</v>
      </c>
      <c r="P135" s="3" t="s">
        <v>21</v>
      </c>
      <c r="Q135" s="3" t="s">
        <v>21</v>
      </c>
      <c r="R135" s="3" t="s">
        <v>21</v>
      </c>
      <c r="S135" s="3" t="s">
        <v>21</v>
      </c>
    </row>
    <row r="136" spans="1:30" x14ac:dyDescent="0.2">
      <c r="A136" s="2" t="s">
        <v>141</v>
      </c>
      <c r="B136" s="3">
        <v>1100</v>
      </c>
      <c r="C136" s="3">
        <v>1380</v>
      </c>
      <c r="D136" s="3">
        <v>1380</v>
      </c>
      <c r="E136" s="3">
        <v>1820</v>
      </c>
      <c r="F136" s="3">
        <v>1920</v>
      </c>
      <c r="G136" s="3">
        <v>2030</v>
      </c>
      <c r="H136" s="3">
        <v>1620</v>
      </c>
      <c r="I136" s="3">
        <v>3140</v>
      </c>
      <c r="J136" s="3">
        <v>3642</v>
      </c>
      <c r="K136" s="3">
        <v>4300</v>
      </c>
      <c r="L136" s="3">
        <v>4500</v>
      </c>
      <c r="M136" s="3">
        <v>5200</v>
      </c>
      <c r="N136" s="3">
        <v>5800</v>
      </c>
      <c r="O136" s="4">
        <v>5800</v>
      </c>
      <c r="P136" s="3">
        <v>5200</v>
      </c>
      <c r="Q136" s="3">
        <v>5800</v>
      </c>
      <c r="R136" s="3">
        <v>5800</v>
      </c>
      <c r="S136" s="3">
        <v>5800</v>
      </c>
    </row>
    <row r="138" spans="1:30"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x14ac:dyDescent="0.2">
      <c r="A139" s="2" t="s">
        <v>142</v>
      </c>
      <c r="B139" s="3">
        <v>842588000</v>
      </c>
      <c r="C139" s="3">
        <v>436358000</v>
      </c>
      <c r="D139" s="3">
        <v>593397000</v>
      </c>
      <c r="E139" s="3">
        <v>709731000</v>
      </c>
      <c r="F139" s="3">
        <v>821260000</v>
      </c>
      <c r="G139" s="3">
        <v>526582000</v>
      </c>
      <c r="H139" s="3">
        <v>824178000</v>
      </c>
      <c r="I139" s="3">
        <v>629709000</v>
      </c>
      <c r="J139" s="3">
        <v>727821000</v>
      </c>
      <c r="K139" s="3">
        <v>1693300000</v>
      </c>
      <c r="L139" s="3">
        <v>1465711000</v>
      </c>
      <c r="M139" s="3">
        <v>2239462000</v>
      </c>
      <c r="N139" s="3">
        <v>1482423000</v>
      </c>
      <c r="O139" s="4">
        <v>2267046000</v>
      </c>
      <c r="P139" s="3">
        <v>18258000</v>
      </c>
      <c r="Q139" s="3">
        <v>862788000</v>
      </c>
      <c r="R139" s="3">
        <v>717000000</v>
      </c>
      <c r="S139" s="3">
        <v>669000000</v>
      </c>
    </row>
    <row r="140" spans="1:30" x14ac:dyDescent="0.2">
      <c r="A140" s="2" t="s">
        <v>143</v>
      </c>
      <c r="B140" s="3" t="s">
        <v>21</v>
      </c>
      <c r="C140" s="3" t="s">
        <v>21</v>
      </c>
      <c r="D140" s="3" t="s">
        <v>21</v>
      </c>
      <c r="E140" s="3" t="s">
        <v>21</v>
      </c>
      <c r="F140" s="3" t="s">
        <v>21</v>
      </c>
      <c r="G140" s="3">
        <v>22926000</v>
      </c>
      <c r="H140" s="3">
        <v>19343000</v>
      </c>
      <c r="I140" s="3">
        <v>125778000</v>
      </c>
      <c r="J140" s="3">
        <v>105670000</v>
      </c>
      <c r="K140" s="3">
        <v>82104000</v>
      </c>
      <c r="L140" s="3">
        <v>69031000</v>
      </c>
      <c r="M140" s="3">
        <v>82955000</v>
      </c>
      <c r="N140" s="3">
        <v>106200000</v>
      </c>
      <c r="O140" s="4">
        <v>99200000</v>
      </c>
      <c r="P140" s="3">
        <v>26478000</v>
      </c>
      <c r="Q140" s="3">
        <v>25722000</v>
      </c>
      <c r="R140" s="3">
        <v>23000000</v>
      </c>
      <c r="S140" s="3">
        <v>24000000</v>
      </c>
    </row>
    <row r="141" spans="1:30" x14ac:dyDescent="0.2">
      <c r="A141" s="2" t="s">
        <v>144</v>
      </c>
      <c r="B141" s="3">
        <v>-276333000</v>
      </c>
      <c r="C141" s="3">
        <v>-2774000</v>
      </c>
      <c r="D141" s="3">
        <v>-189489000</v>
      </c>
      <c r="E141" s="3">
        <v>27763000</v>
      </c>
      <c r="F141" s="3">
        <v>-29232000</v>
      </c>
      <c r="G141" s="3">
        <v>207104000</v>
      </c>
      <c r="H141" s="3">
        <v>-105183000</v>
      </c>
      <c r="I141" s="3">
        <v>-179121000</v>
      </c>
      <c r="J141" s="3">
        <v>482849000</v>
      </c>
      <c r="K141" s="3">
        <v>-325563000</v>
      </c>
      <c r="L141" s="3">
        <v>-821314000</v>
      </c>
      <c r="M141" s="3">
        <v>-804323000</v>
      </c>
      <c r="N141" s="3">
        <v>892353000</v>
      </c>
      <c r="O141" s="4">
        <v>344373000</v>
      </c>
      <c r="P141" s="3">
        <v>263134000</v>
      </c>
      <c r="Q141" s="3">
        <v>-36761000</v>
      </c>
      <c r="R141" s="3">
        <v>-42000000</v>
      </c>
      <c r="S141" s="3">
        <v>160000000</v>
      </c>
    </row>
    <row r="142" spans="1:30" x14ac:dyDescent="0.2">
      <c r="A142" s="32" t="s">
        <v>145</v>
      </c>
      <c r="B142" s="30">
        <v>31065000</v>
      </c>
      <c r="C142" s="30">
        <v>30986000</v>
      </c>
      <c r="D142" s="30">
        <v>42303000</v>
      </c>
      <c r="E142" s="30">
        <v>49237000</v>
      </c>
      <c r="F142" s="30">
        <v>54789000</v>
      </c>
      <c r="G142" s="30">
        <v>56096000</v>
      </c>
      <c r="H142" s="30">
        <v>56581000</v>
      </c>
      <c r="I142" s="30">
        <v>67798000</v>
      </c>
      <c r="J142" s="30">
        <v>55776000</v>
      </c>
      <c r="K142" s="30">
        <v>66417000</v>
      </c>
      <c r="L142" s="30">
        <v>71262000</v>
      </c>
      <c r="M142" s="30">
        <v>87094000</v>
      </c>
      <c r="N142" s="30">
        <v>87628000</v>
      </c>
      <c r="O142" s="31">
        <v>78110000</v>
      </c>
      <c r="P142" s="30">
        <v>13511000</v>
      </c>
      <c r="Q142" s="30">
        <v>7599000</v>
      </c>
      <c r="R142" s="30">
        <v>41000000</v>
      </c>
      <c r="S142" s="30">
        <v>16000000</v>
      </c>
    </row>
    <row r="143" spans="1:30" ht="19" x14ac:dyDescent="0.25">
      <c r="A143" s="14" t="s">
        <v>198</v>
      </c>
      <c r="B143" s="21">
        <f t="shared" ref="B143:S143" si="7">B142/B2</f>
        <v>9.5759427903307787E-3</v>
      </c>
      <c r="C143" s="21">
        <f t="shared" si="7"/>
        <v>9.9144825485461205E-3</v>
      </c>
      <c r="D143" s="21">
        <f t="shared" si="7"/>
        <v>1.251457711716541E-2</v>
      </c>
      <c r="E143" s="21">
        <f t="shared" si="7"/>
        <v>1.4156206756464194E-2</v>
      </c>
      <c r="F143" s="21">
        <f t="shared" si="7"/>
        <v>1.3519021973808299E-2</v>
      </c>
      <c r="G143" s="21">
        <f t="shared" si="7"/>
        <v>1.4104207099724358E-2</v>
      </c>
      <c r="H143" s="21">
        <f t="shared" si="7"/>
        <v>1.2709884602217744E-2</v>
      </c>
      <c r="I143" s="21">
        <f t="shared" si="7"/>
        <v>1.2626955396664783E-2</v>
      </c>
      <c r="J143" s="21">
        <f t="shared" si="7"/>
        <v>1.0188645950946682E-2</v>
      </c>
      <c r="K143" s="21">
        <f t="shared" si="7"/>
        <v>9.7903586407797616E-3</v>
      </c>
      <c r="L143" s="21">
        <f t="shared" si="7"/>
        <v>8.591012264332459E-3</v>
      </c>
      <c r="M143" s="21">
        <f t="shared" si="7"/>
        <v>9.7583143821132895E-3</v>
      </c>
      <c r="N143" s="21">
        <f t="shared" si="7"/>
        <v>9.1280526366173988E-3</v>
      </c>
      <c r="O143" s="21">
        <f t="shared" si="7"/>
        <v>6.7128288596467033E-3</v>
      </c>
      <c r="P143" s="21">
        <f t="shared" si="7"/>
        <v>5.413887296097682E-3</v>
      </c>
      <c r="Q143" s="21">
        <f t="shared" si="7"/>
        <v>2.5756615406516605E-3</v>
      </c>
      <c r="R143" s="21">
        <f t="shared" si="7"/>
        <v>1.3217279174725984E-2</v>
      </c>
      <c r="S143" s="21">
        <f t="shared" si="7"/>
        <v>5.1813471502590676E-3</v>
      </c>
      <c r="T143" s="12"/>
      <c r="U143" s="12"/>
      <c r="V143" s="12"/>
      <c r="W143" s="12"/>
      <c r="X143" s="12"/>
      <c r="Y143" s="12"/>
      <c r="Z143" s="12"/>
      <c r="AA143" s="13"/>
      <c r="AB143" s="13"/>
      <c r="AC143" s="13"/>
      <c r="AD143" s="13"/>
    </row>
    <row r="144" spans="1:30" x14ac:dyDescent="0.2">
      <c r="A144" s="2" t="s">
        <v>146</v>
      </c>
      <c r="B144" s="3" t="s">
        <v>21</v>
      </c>
      <c r="C144" s="3" t="s">
        <v>21</v>
      </c>
      <c r="D144" s="3" t="s">
        <v>21</v>
      </c>
      <c r="E144" s="3" t="s">
        <v>21</v>
      </c>
      <c r="F144" s="3" t="s">
        <v>21</v>
      </c>
      <c r="G144" s="3" t="s">
        <v>21</v>
      </c>
      <c r="H144" s="3" t="s">
        <v>21</v>
      </c>
      <c r="I144" s="3" t="s">
        <v>21</v>
      </c>
      <c r="J144" s="3" t="s">
        <v>21</v>
      </c>
      <c r="K144" s="3" t="s">
        <v>21</v>
      </c>
      <c r="L144" s="3" t="s">
        <v>21</v>
      </c>
      <c r="M144" s="3" t="s">
        <v>21</v>
      </c>
      <c r="N144" s="3" t="s">
        <v>21</v>
      </c>
      <c r="O144" s="4" t="s">
        <v>21</v>
      </c>
      <c r="P144" s="3" t="s">
        <v>21</v>
      </c>
      <c r="Q144" s="3" t="s">
        <v>21</v>
      </c>
      <c r="R144" s="3" t="s">
        <v>21</v>
      </c>
      <c r="S144" s="3" t="s">
        <v>21</v>
      </c>
    </row>
    <row r="145" spans="1:19" x14ac:dyDescent="0.2">
      <c r="A145" s="2" t="s">
        <v>147</v>
      </c>
      <c r="B145" s="3">
        <v>11321000</v>
      </c>
      <c r="C145" s="3">
        <v>9062000</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x14ac:dyDescent="0.2">
      <c r="A146" s="2" t="s">
        <v>148</v>
      </c>
      <c r="B146" s="3">
        <v>-318719000</v>
      </c>
      <c r="C146" s="3">
        <v>-42822000</v>
      </c>
      <c r="D146" s="3">
        <v>-231792000</v>
      </c>
      <c r="E146" s="3">
        <v>-21474000</v>
      </c>
      <c r="F146" s="3">
        <v>-84021000</v>
      </c>
      <c r="G146" s="3">
        <v>151008000</v>
      </c>
      <c r="H146" s="3">
        <v>-161764000</v>
      </c>
      <c r="I146" s="3">
        <v>-246919000</v>
      </c>
      <c r="J146" s="3">
        <v>427073000</v>
      </c>
      <c r="K146" s="3">
        <v>-391980000</v>
      </c>
      <c r="L146" s="3">
        <v>-892576000</v>
      </c>
      <c r="M146" s="3">
        <v>-891417000</v>
      </c>
      <c r="N146" s="3">
        <v>804725000</v>
      </c>
      <c r="O146" s="4">
        <v>266263000</v>
      </c>
      <c r="P146" s="3">
        <v>249623000</v>
      </c>
      <c r="Q146" s="3">
        <v>-44360000</v>
      </c>
      <c r="R146" s="3">
        <v>-83000000</v>
      </c>
      <c r="S146" s="3">
        <v>144000000</v>
      </c>
    </row>
    <row r="147" spans="1:19" x14ac:dyDescent="0.2">
      <c r="A147" s="2" t="s">
        <v>149</v>
      </c>
      <c r="B147" s="3">
        <v>235819000</v>
      </c>
      <c r="C147" s="3">
        <v>432528000</v>
      </c>
      <c r="D147" s="3">
        <v>517695000</v>
      </c>
      <c r="E147" s="3">
        <v>113374000</v>
      </c>
      <c r="F147" s="3">
        <v>245102000</v>
      </c>
      <c r="G147" s="3">
        <v>241294000</v>
      </c>
      <c r="H147" s="3">
        <v>658306000</v>
      </c>
      <c r="I147" s="3">
        <v>536251000</v>
      </c>
      <c r="J147" s="3">
        <v>242982000</v>
      </c>
      <c r="K147" s="3">
        <v>598618000</v>
      </c>
      <c r="L147" s="3">
        <v>2173077000</v>
      </c>
      <c r="M147" s="3">
        <v>1909461000</v>
      </c>
      <c r="N147" s="3">
        <v>1334251000</v>
      </c>
      <c r="O147" s="4">
        <v>1764640000</v>
      </c>
      <c r="P147" s="3">
        <v>1071879000</v>
      </c>
      <c r="Q147" s="3">
        <v>129761000</v>
      </c>
      <c r="R147" s="3">
        <v>265000000</v>
      </c>
      <c r="S147" s="3">
        <v>298000000</v>
      </c>
    </row>
    <row r="148" spans="1:19" x14ac:dyDescent="0.2">
      <c r="A148" s="2" t="s">
        <v>150</v>
      </c>
      <c r="B148" s="3">
        <v>83380000</v>
      </c>
      <c r="C148" s="3">
        <v>-7226000</v>
      </c>
      <c r="D148" s="3">
        <v>-120380000</v>
      </c>
      <c r="E148" s="3">
        <v>-60224000</v>
      </c>
      <c r="F148" s="3">
        <v>-217035000</v>
      </c>
      <c r="G148" s="3">
        <v>-26783000</v>
      </c>
      <c r="H148" s="3">
        <v>-71613000</v>
      </c>
      <c r="I148" s="3">
        <v>-31405000</v>
      </c>
      <c r="J148" s="3">
        <v>-211296000</v>
      </c>
      <c r="K148" s="3">
        <v>-237752000</v>
      </c>
      <c r="L148" s="3">
        <v>-318643000</v>
      </c>
      <c r="M148" s="3">
        <v>-685214000</v>
      </c>
      <c r="N148" s="3">
        <v>-1109229000</v>
      </c>
      <c r="O148" s="4">
        <v>-1671439000</v>
      </c>
      <c r="P148" s="3">
        <v>-9951000</v>
      </c>
      <c r="Q148" s="3">
        <v>-13488000</v>
      </c>
      <c r="R148" s="3">
        <v>-871000000</v>
      </c>
      <c r="S148" s="3">
        <v>-777000000</v>
      </c>
    </row>
    <row r="149" spans="1:19"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x14ac:dyDescent="0.2">
      <c r="A150" s="2" t="s">
        <v>152</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x14ac:dyDescent="0.2">
      <c r="A151" s="2" t="s">
        <v>153</v>
      </c>
      <c r="B151" s="3">
        <v>-18978000</v>
      </c>
      <c r="C151" s="3">
        <v>5515000</v>
      </c>
      <c r="D151" s="3">
        <v>42740000</v>
      </c>
      <c r="E151" s="3">
        <v>6830000</v>
      </c>
      <c r="F151" s="3">
        <v>26699000</v>
      </c>
      <c r="G151" s="3">
        <v>-5885000</v>
      </c>
      <c r="H151" s="3">
        <v>31542000</v>
      </c>
      <c r="I151" s="3">
        <v>8529000</v>
      </c>
      <c r="J151" s="3">
        <v>73438000</v>
      </c>
      <c r="K151" s="3">
        <v>182132000</v>
      </c>
      <c r="L151" s="3">
        <v>65950000</v>
      </c>
      <c r="M151" s="3">
        <v>500065000</v>
      </c>
      <c r="N151" s="3">
        <v>-35509000</v>
      </c>
      <c r="O151" s="4">
        <v>544396000</v>
      </c>
      <c r="P151" s="3">
        <v>56323000</v>
      </c>
      <c r="Q151" s="3">
        <v>-163927000</v>
      </c>
      <c r="R151" s="3">
        <v>279000000</v>
      </c>
      <c r="S151" s="3">
        <v>373000000</v>
      </c>
    </row>
    <row r="152" spans="1:19" x14ac:dyDescent="0.2">
      <c r="A152" s="2" t="s">
        <v>154</v>
      </c>
      <c r="B152" s="3">
        <v>171417000</v>
      </c>
      <c r="C152" s="3">
        <v>434239000</v>
      </c>
      <c r="D152" s="3">
        <v>595335000</v>
      </c>
      <c r="E152" s="3">
        <v>166768000</v>
      </c>
      <c r="F152" s="3">
        <v>435438000</v>
      </c>
      <c r="G152" s="3">
        <v>273962000</v>
      </c>
      <c r="H152" s="3">
        <v>698377000</v>
      </c>
      <c r="I152" s="3">
        <v>559127000</v>
      </c>
      <c r="J152" s="3">
        <v>380840000</v>
      </c>
      <c r="K152" s="3">
        <v>654238000</v>
      </c>
      <c r="L152" s="3">
        <v>2425770000</v>
      </c>
      <c r="M152" s="3">
        <v>2094610000</v>
      </c>
      <c r="N152" s="3">
        <v>2478989000</v>
      </c>
      <c r="O152" s="4">
        <v>2891683000</v>
      </c>
      <c r="P152" s="3">
        <v>1025507000</v>
      </c>
      <c r="Q152" s="3">
        <v>307176000</v>
      </c>
      <c r="R152" s="3">
        <v>857000000</v>
      </c>
      <c r="S152" s="3">
        <v>702000000</v>
      </c>
    </row>
    <row r="153" spans="1:19"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x14ac:dyDescent="0.2">
      <c r="A154" s="2" t="s">
        <v>156</v>
      </c>
      <c r="B154" s="3">
        <v>802074000</v>
      </c>
      <c r="C154" s="3">
        <v>866112000</v>
      </c>
      <c r="D154" s="3">
        <v>921603000</v>
      </c>
      <c r="E154" s="3">
        <v>850868000</v>
      </c>
      <c r="F154" s="3">
        <v>1037130000</v>
      </c>
      <c r="G154" s="3">
        <v>997906000</v>
      </c>
      <c r="H154" s="3">
        <v>1396644000</v>
      </c>
      <c r="I154" s="3">
        <v>1112617000</v>
      </c>
      <c r="J154" s="3">
        <v>1559322000</v>
      </c>
      <c r="K154" s="3">
        <v>2048459000</v>
      </c>
      <c r="L154" s="3">
        <v>2886505000</v>
      </c>
      <c r="M154" s="3">
        <v>3427555000</v>
      </c>
      <c r="N154" s="3">
        <v>3815227000</v>
      </c>
      <c r="O154" s="4">
        <v>4475259000</v>
      </c>
      <c r="P154" s="3">
        <v>1379749000</v>
      </c>
      <c r="Q154" s="3">
        <v>981510000</v>
      </c>
      <c r="R154" s="3">
        <v>963000000</v>
      </c>
      <c r="S154" s="3">
        <v>1151000000</v>
      </c>
    </row>
    <row r="155" spans="1:19"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t="s">
        <v>21</v>
      </c>
      <c r="O156" s="4" t="s">
        <v>21</v>
      </c>
      <c r="P156" s="3" t="s">
        <v>21</v>
      </c>
      <c r="Q156" s="3" t="s">
        <v>21</v>
      </c>
      <c r="R156" s="3" t="s">
        <v>21</v>
      </c>
      <c r="S156" s="3" t="s">
        <v>21</v>
      </c>
    </row>
    <row r="157" spans="1:19"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t="s">
        <v>21</v>
      </c>
      <c r="O157" s="4" t="s">
        <v>21</v>
      </c>
      <c r="P157" s="3" t="s">
        <v>21</v>
      </c>
      <c r="Q157" s="3" t="s">
        <v>21</v>
      </c>
      <c r="R157" s="3" t="s">
        <v>21</v>
      </c>
      <c r="S157" s="3" t="s">
        <v>21</v>
      </c>
    </row>
    <row r="158" spans="1:19"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x14ac:dyDescent="0.2">
      <c r="A159" s="2" t="s">
        <v>161</v>
      </c>
      <c r="B159" s="3">
        <v>-11664000</v>
      </c>
      <c r="C159" s="3">
        <v>-18987000</v>
      </c>
      <c r="D159" s="3">
        <v>-18532000</v>
      </c>
      <c r="E159" s="3">
        <v>-17499000</v>
      </c>
      <c r="F159" s="3">
        <v>-19883000</v>
      </c>
      <c r="G159" s="3">
        <v>-15736000</v>
      </c>
      <c r="H159" s="3">
        <v>-15303000</v>
      </c>
      <c r="I159" s="3">
        <v>-22841000</v>
      </c>
      <c r="J159" s="3">
        <v>-29809000</v>
      </c>
      <c r="K159" s="3">
        <v>-37837000</v>
      </c>
      <c r="L159" s="3">
        <v>-39872000</v>
      </c>
      <c r="M159" s="3">
        <v>-41394000</v>
      </c>
      <c r="N159" s="3">
        <v>-51672000</v>
      </c>
      <c r="O159" s="4">
        <v>-53842000</v>
      </c>
      <c r="P159" s="3">
        <v>-14553000</v>
      </c>
      <c r="Q159" s="3">
        <v>-13289000</v>
      </c>
      <c r="R159" s="3">
        <v>-11000000</v>
      </c>
      <c r="S159" s="3">
        <v>-15000000</v>
      </c>
    </row>
    <row r="160" spans="1:19" x14ac:dyDescent="0.2">
      <c r="A160" s="2" t="s">
        <v>162</v>
      </c>
      <c r="B160" s="3">
        <v>-11664000</v>
      </c>
      <c r="C160" s="3">
        <v>-18987000</v>
      </c>
      <c r="D160" s="3">
        <v>-18532000</v>
      </c>
      <c r="E160" s="3">
        <v>-17499000</v>
      </c>
      <c r="F160" s="3">
        <v>-19883000</v>
      </c>
      <c r="G160" s="3">
        <v>-15736000</v>
      </c>
      <c r="H160" s="3">
        <v>-15303000</v>
      </c>
      <c r="I160" s="3">
        <v>-22841000</v>
      </c>
      <c r="J160" s="3">
        <v>-29809000</v>
      </c>
      <c r="K160" s="3">
        <v>-37837000</v>
      </c>
      <c r="L160" s="3">
        <v>-39872000</v>
      </c>
      <c r="M160" s="3">
        <v>-41394000</v>
      </c>
      <c r="N160" s="3">
        <v>-51672000</v>
      </c>
      <c r="O160" s="4">
        <v>-53842000</v>
      </c>
      <c r="P160" s="3">
        <v>-14553000</v>
      </c>
      <c r="Q160" s="3">
        <v>-13289000</v>
      </c>
      <c r="R160" s="3">
        <v>-11000000</v>
      </c>
      <c r="S160" s="3">
        <v>-15000000</v>
      </c>
    </row>
    <row r="161" spans="1:19" x14ac:dyDescent="0.2">
      <c r="A161" s="2" t="s">
        <v>163</v>
      </c>
      <c r="B161" s="3" t="s">
        <v>21</v>
      </c>
      <c r="C161" s="3" t="s">
        <v>21</v>
      </c>
      <c r="D161" s="3" t="s">
        <v>21</v>
      </c>
      <c r="E161" s="3" t="s">
        <v>21</v>
      </c>
      <c r="F161" s="3" t="s">
        <v>21</v>
      </c>
      <c r="G161" s="3" t="s">
        <v>21</v>
      </c>
      <c r="H161" s="3" t="s">
        <v>21</v>
      </c>
      <c r="I161" s="3" t="s">
        <v>21</v>
      </c>
      <c r="J161" s="3" t="s">
        <v>21</v>
      </c>
      <c r="K161" s="3" t="s">
        <v>21</v>
      </c>
      <c r="L161" s="3" t="s">
        <v>21</v>
      </c>
      <c r="M161" s="3" t="s">
        <v>21</v>
      </c>
      <c r="N161" s="3" t="s">
        <v>21</v>
      </c>
      <c r="O161" s="4" t="s">
        <v>21</v>
      </c>
      <c r="P161" s="3" t="s">
        <v>21</v>
      </c>
      <c r="Q161" s="3" t="s">
        <v>21</v>
      </c>
      <c r="R161" s="3" t="s">
        <v>21</v>
      </c>
      <c r="S161" s="3" t="s">
        <v>21</v>
      </c>
    </row>
    <row r="162" spans="1:19" x14ac:dyDescent="0.2">
      <c r="A162" s="2" t="s">
        <v>164</v>
      </c>
      <c r="B162" s="3">
        <v>27761000</v>
      </c>
      <c r="C162" s="3">
        <v>-519433000</v>
      </c>
      <c r="D162" s="3">
        <v>-412574000</v>
      </c>
      <c r="E162" s="3">
        <v>-1234371000</v>
      </c>
      <c r="F162" s="3">
        <v>-1305902000</v>
      </c>
      <c r="G162" s="3">
        <v>-895302000</v>
      </c>
      <c r="H162" s="3">
        <v>-512367000</v>
      </c>
      <c r="I162" s="3">
        <v>-1432456000</v>
      </c>
      <c r="J162" s="3">
        <v>-726830000</v>
      </c>
      <c r="K162" s="3">
        <v>-1357967000</v>
      </c>
      <c r="L162" s="3">
        <v>-3022367000</v>
      </c>
      <c r="M162" s="3">
        <v>-471356000</v>
      </c>
      <c r="N162" s="3">
        <v>-3175788000</v>
      </c>
      <c r="O162" s="4">
        <v>-4264630000</v>
      </c>
      <c r="P162" s="3">
        <v>-1306534000</v>
      </c>
      <c r="Q162" s="3">
        <v>-979096000</v>
      </c>
      <c r="R162" s="3">
        <v>-984000000</v>
      </c>
      <c r="S162" s="3">
        <v>-995000000</v>
      </c>
    </row>
    <row r="163" spans="1:19" x14ac:dyDescent="0.2">
      <c r="A163" s="2" t="s">
        <v>165</v>
      </c>
      <c r="B163" s="3">
        <v>18054185000</v>
      </c>
      <c r="C163" s="3">
        <v>14365477000</v>
      </c>
      <c r="D163" s="3">
        <v>18425066000</v>
      </c>
      <c r="E163" s="3">
        <v>19553816000</v>
      </c>
      <c r="F163" s="3">
        <v>30217675000</v>
      </c>
      <c r="G163" s="3">
        <v>30821509000</v>
      </c>
      <c r="H163" s="3">
        <v>37198961000</v>
      </c>
      <c r="I163" s="3">
        <v>39179214000</v>
      </c>
      <c r="J163" s="3">
        <v>35131128000</v>
      </c>
      <c r="K163" s="3">
        <v>30938489000</v>
      </c>
      <c r="L163" s="3">
        <v>41176328000</v>
      </c>
      <c r="M163" s="3">
        <v>38055150000</v>
      </c>
      <c r="N163" s="3">
        <v>15800960000</v>
      </c>
      <c r="O163" s="4">
        <v>13256895000</v>
      </c>
      <c r="P163" s="3">
        <v>2595195000</v>
      </c>
      <c r="Q163" s="3">
        <v>2806700000</v>
      </c>
      <c r="R163" s="3">
        <v>3399000000</v>
      </c>
      <c r="S163" s="3">
        <v>4456000000</v>
      </c>
    </row>
    <row r="164" spans="1:19" x14ac:dyDescent="0.2">
      <c r="A164" s="2" t="s">
        <v>166</v>
      </c>
      <c r="B164" s="3">
        <v>-18026424000</v>
      </c>
      <c r="C164" s="3">
        <v>-14884910000</v>
      </c>
      <c r="D164" s="3">
        <v>-18837640000</v>
      </c>
      <c r="E164" s="3">
        <v>-20788187000</v>
      </c>
      <c r="F164" s="3">
        <v>-31523577000</v>
      </c>
      <c r="G164" s="3">
        <v>-31716811000</v>
      </c>
      <c r="H164" s="3">
        <v>-37711328000</v>
      </c>
      <c r="I164" s="3">
        <v>-40611670000</v>
      </c>
      <c r="J164" s="3">
        <v>-35857958000</v>
      </c>
      <c r="K164" s="3">
        <v>-32296456000</v>
      </c>
      <c r="L164" s="3">
        <v>-44198695000</v>
      </c>
      <c r="M164" s="3">
        <v>-38526506000</v>
      </c>
      <c r="N164" s="3">
        <v>-18976748000</v>
      </c>
      <c r="O164" s="4">
        <v>-17521525000</v>
      </c>
      <c r="P164" s="3">
        <v>-3901729000</v>
      </c>
      <c r="Q164" s="3">
        <v>-3785796000</v>
      </c>
      <c r="R164" s="3">
        <v>-4383000000</v>
      </c>
      <c r="S164" s="3">
        <v>-5451000000</v>
      </c>
    </row>
    <row r="165" spans="1:19" x14ac:dyDescent="0.2">
      <c r="A165" s="2" t="s">
        <v>167</v>
      </c>
      <c r="B165" s="3" t="s">
        <v>21</v>
      </c>
      <c r="C165" s="3" t="s">
        <v>21</v>
      </c>
      <c r="D165" s="3" t="s">
        <v>21</v>
      </c>
      <c r="E165" s="3" t="s">
        <v>21</v>
      </c>
      <c r="F165" s="3" t="s">
        <v>21</v>
      </c>
      <c r="G165" s="3">
        <v>40000000</v>
      </c>
      <c r="H165" s="3" t="s">
        <v>21</v>
      </c>
      <c r="I165" s="3" t="s">
        <v>21</v>
      </c>
      <c r="J165" s="3" t="s">
        <v>21</v>
      </c>
      <c r="K165" s="3" t="s">
        <v>21</v>
      </c>
      <c r="L165" s="3" t="s">
        <v>21</v>
      </c>
      <c r="M165" s="3">
        <v>-1103118000</v>
      </c>
      <c r="N165" s="3" t="s">
        <v>21</v>
      </c>
      <c r="O165" s="4" t="s">
        <v>21</v>
      </c>
      <c r="P165" s="3" t="s">
        <v>21</v>
      </c>
      <c r="Q165" s="3" t="s">
        <v>21</v>
      </c>
      <c r="R165" s="3" t="s">
        <v>21</v>
      </c>
      <c r="S165" s="3" t="s">
        <v>21</v>
      </c>
    </row>
    <row r="166" spans="1:19" x14ac:dyDescent="0.2">
      <c r="A166" s="2" t="s">
        <v>168</v>
      </c>
      <c r="B166" s="3" t="s">
        <v>21</v>
      </c>
      <c r="C166" s="3" t="s">
        <v>21</v>
      </c>
      <c r="D166" s="3" t="s">
        <v>21</v>
      </c>
      <c r="E166" s="3" t="s">
        <v>21</v>
      </c>
      <c r="F166" s="3" t="s">
        <v>21</v>
      </c>
      <c r="G166" s="3">
        <v>40000000</v>
      </c>
      <c r="H166" s="3" t="s">
        <v>21</v>
      </c>
      <c r="I166" s="3" t="s">
        <v>21</v>
      </c>
      <c r="J166" s="3" t="s">
        <v>21</v>
      </c>
      <c r="K166" s="3" t="s">
        <v>21</v>
      </c>
      <c r="L166" s="3" t="s">
        <v>21</v>
      </c>
      <c r="M166" s="3" t="s">
        <v>21</v>
      </c>
      <c r="N166" s="3" t="s">
        <v>21</v>
      </c>
      <c r="O166" s="4" t="s">
        <v>21</v>
      </c>
      <c r="P166" s="3" t="s">
        <v>21</v>
      </c>
      <c r="Q166" s="3" t="s">
        <v>21</v>
      </c>
      <c r="R166" s="3" t="s">
        <v>21</v>
      </c>
      <c r="S166" s="3" t="s">
        <v>21</v>
      </c>
    </row>
    <row r="167" spans="1:19" x14ac:dyDescent="0.2">
      <c r="A167" s="2" t="s">
        <v>169</v>
      </c>
      <c r="B167" s="3" t="s">
        <v>21</v>
      </c>
      <c r="C167" s="3" t="s">
        <v>21</v>
      </c>
      <c r="D167" s="3" t="s">
        <v>21</v>
      </c>
      <c r="E167" s="3" t="s">
        <v>21</v>
      </c>
      <c r="F167" s="3" t="s">
        <v>21</v>
      </c>
      <c r="G167" s="3" t="s">
        <v>21</v>
      </c>
      <c r="H167" s="3" t="s">
        <v>21</v>
      </c>
      <c r="I167" s="3" t="s">
        <v>21</v>
      </c>
      <c r="J167" s="3" t="s">
        <v>21</v>
      </c>
      <c r="K167" s="3" t="s">
        <v>21</v>
      </c>
      <c r="L167" s="3" t="s">
        <v>21</v>
      </c>
      <c r="M167" s="3">
        <v>-1103118000</v>
      </c>
      <c r="N167" s="3" t="s">
        <v>21</v>
      </c>
      <c r="O167" s="4" t="s">
        <v>21</v>
      </c>
      <c r="P167" s="3" t="s">
        <v>21</v>
      </c>
      <c r="Q167" s="3" t="s">
        <v>21</v>
      </c>
      <c r="R167" s="3" t="s">
        <v>21</v>
      </c>
      <c r="S167" s="3" t="s">
        <v>21</v>
      </c>
    </row>
    <row r="168" spans="1:19"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x14ac:dyDescent="0.2">
      <c r="A169" s="2" t="s">
        <v>171</v>
      </c>
      <c r="B169" s="3" t="s">
        <v>21</v>
      </c>
      <c r="C169" s="3" t="s">
        <v>21</v>
      </c>
      <c r="D169" s="3">
        <v>35138000</v>
      </c>
      <c r="E169" s="3">
        <v>-55643000</v>
      </c>
      <c r="F169" s="3">
        <v>-179636000</v>
      </c>
      <c r="G169" s="3">
        <v>-42837000</v>
      </c>
      <c r="H169" s="3">
        <v>-2193873000</v>
      </c>
      <c r="I169" s="3">
        <v>95301000</v>
      </c>
      <c r="J169" s="3">
        <v>202619000</v>
      </c>
      <c r="K169" s="3">
        <v>-410679000</v>
      </c>
      <c r="L169" s="3">
        <v>19013000</v>
      </c>
      <c r="M169" s="3">
        <v>-523864000</v>
      </c>
      <c r="N169" s="3">
        <v>125405000</v>
      </c>
      <c r="O169" s="4">
        <v>31019000</v>
      </c>
      <c r="P169" s="3">
        <v>29968000</v>
      </c>
      <c r="Q169" s="3">
        <v>-2949000</v>
      </c>
      <c r="R169" s="3">
        <v>-1000000</v>
      </c>
      <c r="S169" s="3">
        <v>5000000</v>
      </c>
    </row>
    <row r="170" spans="1:19"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x14ac:dyDescent="0.2">
      <c r="A171" s="2" t="s">
        <v>172</v>
      </c>
      <c r="B171" s="3">
        <v>16097000</v>
      </c>
      <c r="C171" s="3">
        <v>-538420000</v>
      </c>
      <c r="D171" s="3">
        <v>-395968000</v>
      </c>
      <c r="E171" s="3">
        <v>-1307513000</v>
      </c>
      <c r="F171" s="3">
        <v>-1505421000</v>
      </c>
      <c r="G171" s="3">
        <v>-913875000</v>
      </c>
      <c r="H171" s="3">
        <v>-2721543000</v>
      </c>
      <c r="I171" s="3">
        <v>-1359996000</v>
      </c>
      <c r="J171" s="3">
        <v>-554020000</v>
      </c>
      <c r="K171" s="3">
        <v>-1806483000</v>
      </c>
      <c r="L171" s="3">
        <v>-3043226000</v>
      </c>
      <c r="M171" s="3">
        <v>-2139732000</v>
      </c>
      <c r="N171" s="3">
        <v>-3102055000</v>
      </c>
      <c r="O171" s="4">
        <v>-4287453000</v>
      </c>
      <c r="P171" s="3">
        <v>-1291119000</v>
      </c>
      <c r="Q171" s="3">
        <v>-995334000</v>
      </c>
      <c r="R171" s="3">
        <v>-996000000</v>
      </c>
      <c r="S171" s="3">
        <v>-1005000000</v>
      </c>
    </row>
    <row r="172" spans="1:19" x14ac:dyDescent="0.2">
      <c r="A172" s="2" t="s">
        <v>173</v>
      </c>
      <c r="B172" s="3">
        <v>-25844000</v>
      </c>
      <c r="C172" s="3">
        <v>-25844000</v>
      </c>
      <c r="D172" s="3">
        <v>-28381000</v>
      </c>
      <c r="E172" s="3">
        <v>-21938000</v>
      </c>
      <c r="F172" s="3">
        <v>-21938000</v>
      </c>
      <c r="G172" s="3">
        <v>-21938000</v>
      </c>
      <c r="H172" s="3">
        <v>-28070000</v>
      </c>
      <c r="I172" s="3">
        <v>-46041000</v>
      </c>
      <c r="J172" s="3">
        <v>-41645000</v>
      </c>
      <c r="K172" s="3">
        <v>-41612000</v>
      </c>
      <c r="L172" s="3">
        <v>-41612000</v>
      </c>
      <c r="M172" s="3">
        <v>-48280000</v>
      </c>
      <c r="N172" s="3">
        <v>-40736000</v>
      </c>
      <c r="O172" s="4">
        <v>-40368000</v>
      </c>
      <c r="P172" s="3">
        <v>-10184000</v>
      </c>
      <c r="Q172" s="3">
        <v>-10184000</v>
      </c>
      <c r="R172" s="3">
        <v>-10000000</v>
      </c>
      <c r="S172" s="3">
        <v>-10000000</v>
      </c>
    </row>
    <row r="173" spans="1:19" x14ac:dyDescent="0.2">
      <c r="A173" s="2" t="s">
        <v>174</v>
      </c>
      <c r="B173" s="3">
        <v>107469000</v>
      </c>
      <c r="C173" s="3">
        <v>-15352000</v>
      </c>
      <c r="D173" s="3">
        <v>-310868000</v>
      </c>
      <c r="E173" s="3">
        <v>494228000</v>
      </c>
      <c r="F173" s="3" t="s">
        <v>21</v>
      </c>
      <c r="G173" s="3">
        <v>431362000</v>
      </c>
      <c r="H173" s="3">
        <v>1167570000</v>
      </c>
      <c r="I173" s="3">
        <v>56415000</v>
      </c>
      <c r="J173" s="3">
        <v>-358142000</v>
      </c>
      <c r="K173" s="3">
        <v>150901000</v>
      </c>
      <c r="L173" s="3">
        <v>659793000</v>
      </c>
      <c r="M173" s="3" t="s">
        <v>21</v>
      </c>
      <c r="N173" s="3" t="s">
        <v>21</v>
      </c>
      <c r="O173" s="4" t="s">
        <v>21</v>
      </c>
      <c r="P173" s="3" t="s">
        <v>21</v>
      </c>
      <c r="Q173" s="3" t="s">
        <v>21</v>
      </c>
      <c r="R173" s="3" t="s">
        <v>21</v>
      </c>
      <c r="S173" s="3" t="s">
        <v>21</v>
      </c>
    </row>
    <row r="174" spans="1:19" x14ac:dyDescent="0.2">
      <c r="A174" s="2" t="s">
        <v>175</v>
      </c>
      <c r="B174" s="3">
        <v>264526000</v>
      </c>
      <c r="C174" s="3" t="s">
        <v>21</v>
      </c>
      <c r="D174" s="3" t="s">
        <v>21</v>
      </c>
      <c r="E174" s="3">
        <v>494228000</v>
      </c>
      <c r="F174" s="3" t="s">
        <v>21</v>
      </c>
      <c r="G174" s="3">
        <v>431362000</v>
      </c>
      <c r="H174" s="3">
        <v>1386741000</v>
      </c>
      <c r="I174" s="3">
        <v>253415000</v>
      </c>
      <c r="J174" s="3">
        <v>218259000</v>
      </c>
      <c r="K174" s="3">
        <v>200083000</v>
      </c>
      <c r="L174" s="3">
        <v>1018793000</v>
      </c>
      <c r="M174" s="3" t="s">
        <v>21</v>
      </c>
      <c r="N174" s="3" t="s">
        <v>21</v>
      </c>
      <c r="O174" s="4" t="s">
        <v>21</v>
      </c>
      <c r="P174" s="3" t="s">
        <v>21</v>
      </c>
      <c r="Q174" s="3" t="s">
        <v>21</v>
      </c>
      <c r="R174" s="3" t="s">
        <v>21</v>
      </c>
      <c r="S174" s="3" t="s">
        <v>21</v>
      </c>
    </row>
    <row r="175" spans="1:19" x14ac:dyDescent="0.2">
      <c r="A175" s="2" t="s">
        <v>176</v>
      </c>
      <c r="B175" s="3">
        <v>-157057000</v>
      </c>
      <c r="C175" s="3">
        <v>-15352000</v>
      </c>
      <c r="D175" s="3">
        <v>-310868000</v>
      </c>
      <c r="E175" s="3" t="s">
        <v>21</v>
      </c>
      <c r="F175" s="3" t="s">
        <v>21</v>
      </c>
      <c r="G175" s="3" t="s">
        <v>21</v>
      </c>
      <c r="H175" s="3">
        <v>-219171000</v>
      </c>
      <c r="I175" s="3">
        <v>-197000000</v>
      </c>
      <c r="J175" s="3">
        <v>-576401000</v>
      </c>
      <c r="K175" s="3">
        <v>-49182000</v>
      </c>
      <c r="L175" s="3">
        <v>-359000000</v>
      </c>
      <c r="M175" s="3" t="s">
        <v>21</v>
      </c>
      <c r="N175" s="3" t="s">
        <v>21</v>
      </c>
      <c r="O175" s="4" t="s">
        <v>21</v>
      </c>
      <c r="P175" s="3" t="s">
        <v>21</v>
      </c>
      <c r="Q175" s="3" t="s">
        <v>21</v>
      </c>
      <c r="R175" s="3" t="s">
        <v>21</v>
      </c>
      <c r="S175" s="3" t="s">
        <v>21</v>
      </c>
    </row>
    <row r="176" spans="1:19" x14ac:dyDescent="0.2">
      <c r="A176" s="2" t="s">
        <v>177</v>
      </c>
      <c r="B176" s="3">
        <v>-734225000</v>
      </c>
      <c r="C176" s="3">
        <v>-281229000</v>
      </c>
      <c r="D176" s="3">
        <v>-165023000</v>
      </c>
      <c r="E176" s="3">
        <v>-54745000</v>
      </c>
      <c r="F176" s="3">
        <v>-447310000</v>
      </c>
      <c r="G176" s="3">
        <v>-360522000</v>
      </c>
      <c r="H176" s="3">
        <v>-77674000</v>
      </c>
      <c r="I176" s="3">
        <v>-21048000</v>
      </c>
      <c r="J176" s="3">
        <v>-290370000</v>
      </c>
      <c r="K176" s="3">
        <v>3332000</v>
      </c>
      <c r="L176" s="3">
        <v>-81596000</v>
      </c>
      <c r="M176" s="3">
        <v>-1227876000</v>
      </c>
      <c r="N176" s="3">
        <v>-579163000</v>
      </c>
      <c r="O176" s="4">
        <v>21441000</v>
      </c>
      <c r="P176" s="3">
        <v>-8945000</v>
      </c>
      <c r="Q176" s="3">
        <v>12386000</v>
      </c>
      <c r="R176" s="3">
        <v>-18000000</v>
      </c>
      <c r="S176" s="3">
        <v>36000000</v>
      </c>
    </row>
    <row r="177" spans="1:1022 1027:2048 2053:3060 3074:4086 4100:5112 5126:6138 6152:7164 7178:8190 8204:9216 9230:10237 10242:11263 11268:12275 12289:13301 13315:14327 14341:15353 15367:16379" x14ac:dyDescent="0.2">
      <c r="A177" s="2" t="s">
        <v>178</v>
      </c>
      <c r="B177" s="3">
        <v>27649000</v>
      </c>
      <c r="C177" s="3">
        <v>6332000</v>
      </c>
      <c r="D177" s="3">
        <v>7033000</v>
      </c>
      <c r="E177" s="3">
        <v>3051000</v>
      </c>
      <c r="F177" s="3">
        <v>6827000</v>
      </c>
      <c r="G177" s="3">
        <v>4861000</v>
      </c>
      <c r="H177" s="3" t="s">
        <v>21</v>
      </c>
      <c r="I177" s="3" t="s">
        <v>21</v>
      </c>
      <c r="J177" s="3" t="s">
        <v>21</v>
      </c>
      <c r="K177" s="3">
        <v>6203000</v>
      </c>
      <c r="L177" s="3">
        <v>1876000</v>
      </c>
      <c r="M177" s="3">
        <v>6418000</v>
      </c>
      <c r="N177" s="3">
        <v>6660000</v>
      </c>
      <c r="O177" s="4">
        <v>28725000</v>
      </c>
      <c r="P177" s="3">
        <v>1202000</v>
      </c>
      <c r="Q177" s="3">
        <v>9523000</v>
      </c>
      <c r="R177" s="3" t="s">
        <v>21</v>
      </c>
      <c r="S177" s="3">
        <v>18000000</v>
      </c>
    </row>
    <row r="178" spans="1:1022 1027:2048 2053:3060 3074:4086 4100:5112 5126:6138 6152:7164 7178:8190 8204:9216 9230:10237 10242:11263 11268:12275 12289:13301 13315:14327 14341:15353 15367:16379" x14ac:dyDescent="0.2">
      <c r="A178" s="2" t="s">
        <v>179</v>
      </c>
      <c r="B178" s="3">
        <v>-761874000</v>
      </c>
      <c r="C178" s="3">
        <v>-287561000</v>
      </c>
      <c r="D178" s="3">
        <v>-172056000</v>
      </c>
      <c r="E178" s="3">
        <v>-57796000</v>
      </c>
      <c r="F178" s="3">
        <v>-454137000</v>
      </c>
      <c r="G178" s="3">
        <v>-365383000</v>
      </c>
      <c r="H178" s="3">
        <v>-77674000</v>
      </c>
      <c r="I178" s="3">
        <v>-21048000</v>
      </c>
      <c r="J178" s="3">
        <v>-290370000</v>
      </c>
      <c r="K178" s="3">
        <v>-2871000</v>
      </c>
      <c r="L178" s="3">
        <v>-83472000</v>
      </c>
      <c r="M178" s="3">
        <v>-1234294000</v>
      </c>
      <c r="N178" s="3">
        <v>-585823000</v>
      </c>
      <c r="O178" s="4">
        <v>-7284000</v>
      </c>
      <c r="P178" s="3">
        <v>-10147000</v>
      </c>
      <c r="Q178" s="3">
        <v>2863000</v>
      </c>
      <c r="R178" s="3">
        <v>-18000000</v>
      </c>
      <c r="S178" s="3">
        <v>18000000</v>
      </c>
    </row>
    <row r="179" spans="1:1022 1027:2048 2053:3060 3074:4086 4100:5112 5126:6138 6152:7164 7178:8190 8204:9216 9230:10237 10242:11263 11268:12275 12289:13301 13315:14327 14341:15353 15367:16379" x14ac:dyDescent="0.2">
      <c r="A179" s="2" t="s">
        <v>180</v>
      </c>
      <c r="B179" s="3">
        <v>-133037000</v>
      </c>
      <c r="C179" s="3">
        <v>-14710000</v>
      </c>
      <c r="D179" s="3">
        <v>-8763000</v>
      </c>
      <c r="E179" s="3">
        <v>106473000</v>
      </c>
      <c r="F179" s="3">
        <v>1009191000</v>
      </c>
      <c r="G179" s="3">
        <v>-53558000</v>
      </c>
      <c r="H179" s="3">
        <v>573843000</v>
      </c>
      <c r="I179" s="3">
        <v>7269000</v>
      </c>
      <c r="J179" s="3">
        <v>-298653000</v>
      </c>
      <c r="K179" s="3">
        <v>-193283000</v>
      </c>
      <c r="L179" s="3">
        <v>-15307000</v>
      </c>
      <c r="M179" s="3">
        <v>46607000</v>
      </c>
      <c r="N179" s="3">
        <v>-85827000</v>
      </c>
      <c r="O179" s="4">
        <v>-49683000</v>
      </c>
      <c r="P179" s="3">
        <v>-2632000</v>
      </c>
      <c r="Q179" s="3">
        <v>-4051000</v>
      </c>
      <c r="R179" s="3">
        <v>-2000000</v>
      </c>
      <c r="S179" s="3">
        <v>-41000000</v>
      </c>
    </row>
    <row r="180" spans="1:1022 1027:2048 2053:3060 3074:4086 4100:5112 5126:6138 6152:7164 7178:8190 8204:9216 9230:10237 10242:11263 11268:12275 12289:13301 13315:14327 14341:15353 15367:16379"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x14ac:dyDescent="0.2">
      <c r="A181" s="2" t="s">
        <v>181</v>
      </c>
      <c r="B181" s="3">
        <v>-785637000</v>
      </c>
      <c r="C181" s="3">
        <v>-337135000</v>
      </c>
      <c r="D181" s="3">
        <v>-513035000</v>
      </c>
      <c r="E181" s="3">
        <v>524018000</v>
      </c>
      <c r="F181" s="3">
        <v>539943000</v>
      </c>
      <c r="G181" s="3">
        <v>-4656000</v>
      </c>
      <c r="H181" s="3">
        <v>1635669000</v>
      </c>
      <c r="I181" s="3">
        <v>-3405000</v>
      </c>
      <c r="J181" s="3">
        <v>-988810000</v>
      </c>
      <c r="K181" s="3">
        <v>-80662000</v>
      </c>
      <c r="L181" s="3">
        <v>521278000</v>
      </c>
      <c r="M181" s="3">
        <v>-1229549000</v>
      </c>
      <c r="N181" s="3">
        <v>-705726000</v>
      </c>
      <c r="O181" s="4">
        <v>-68610000</v>
      </c>
      <c r="P181" s="3">
        <v>-21761000</v>
      </c>
      <c r="Q181" s="3">
        <v>-1849000</v>
      </c>
      <c r="R181" s="3">
        <v>-30000000</v>
      </c>
      <c r="S181" s="3">
        <v>-15000000</v>
      </c>
    </row>
    <row r="182" spans="1:1022 1027:2048 2053:3060 3074:4086 4100:5112 5126:6138 6152:7164 7178:8190 8204:9216 9230:10237 10242:11263 11268:12275 12289:13301 13315:14327 14341:15353 15367:16379" x14ac:dyDescent="0.2">
      <c r="A182" s="2" t="s">
        <v>182</v>
      </c>
      <c r="B182" s="3">
        <v>-4365000</v>
      </c>
      <c r="C182" s="3">
        <v>-1598000</v>
      </c>
      <c r="D182" s="3">
        <v>6742000</v>
      </c>
      <c r="E182" s="3">
        <v>-4357000</v>
      </c>
      <c r="F182" s="3">
        <v>-20007000</v>
      </c>
      <c r="G182" s="3">
        <v>-11751000</v>
      </c>
      <c r="H182" s="3">
        <v>-21154000</v>
      </c>
      <c r="I182" s="3">
        <v>14041000</v>
      </c>
      <c r="J182" s="3">
        <v>-19133000</v>
      </c>
      <c r="K182" s="3">
        <v>17741000</v>
      </c>
      <c r="L182" s="3">
        <v>22289000</v>
      </c>
      <c r="M182" s="3">
        <v>-34047000</v>
      </c>
      <c r="N182" s="3">
        <v>-48889000</v>
      </c>
      <c r="O182" s="4">
        <v>5901000</v>
      </c>
      <c r="P182" s="3">
        <v>-36776000</v>
      </c>
      <c r="Q182" s="3">
        <v>30677000</v>
      </c>
      <c r="R182" s="3">
        <v>5000000</v>
      </c>
      <c r="S182" s="3">
        <v>7000000</v>
      </c>
    </row>
    <row r="183" spans="1:1022 1027:2048 2053:3060 3074:4086 4100:5112 5126:6138 6152:7164 7178:8190 8204:9216 9230:10237 10242:11263 11268:12275 12289:13301 13315:14327 14341:15353 15367:16379" x14ac:dyDescent="0.2">
      <c r="A183" s="2" t="s">
        <v>183</v>
      </c>
      <c r="B183" s="3">
        <v>32534000</v>
      </c>
      <c r="C183" s="3">
        <v>-9443000</v>
      </c>
      <c r="D183" s="3">
        <v>12600000</v>
      </c>
      <c r="E183" s="3">
        <v>67373000</v>
      </c>
      <c r="F183" s="3">
        <v>71652000</v>
      </c>
      <c r="G183" s="3">
        <v>79375000</v>
      </c>
      <c r="H183" s="3">
        <v>310770000</v>
      </c>
      <c r="I183" s="3">
        <v>-250784000</v>
      </c>
      <c r="J183" s="3">
        <v>16492000</v>
      </c>
      <c r="K183" s="3">
        <v>161314000</v>
      </c>
      <c r="L183" s="3">
        <v>364557000</v>
      </c>
      <c r="M183" s="3">
        <v>58274000</v>
      </c>
      <c r="N183" s="3">
        <v>7446000</v>
      </c>
      <c r="O183" s="4">
        <v>119196000</v>
      </c>
      <c r="P183" s="3">
        <v>66869000</v>
      </c>
      <c r="Q183" s="3">
        <v>-15673000</v>
      </c>
      <c r="R183" s="3">
        <v>-63000000</v>
      </c>
      <c r="S183" s="3">
        <v>131000000</v>
      </c>
    </row>
    <row r="184" spans="1:1022 1027:2048 2053:3060 3074:4086 4100:5112 5126:6138 6152:7164 7178:8190 8204:9216 9230:10237 10242:11263 11268:12275 12289:13301 13315:14327 14341:15353 15367:16379" x14ac:dyDescent="0.2">
      <c r="A184" s="2" t="s">
        <v>54</v>
      </c>
      <c r="B184" s="3" t="s">
        <v>21</v>
      </c>
      <c r="C184" s="3" t="s">
        <v>21</v>
      </c>
      <c r="D184" s="3" t="s">
        <v>21</v>
      </c>
      <c r="E184" s="3" t="s">
        <v>21</v>
      </c>
      <c r="F184" s="3" t="s">
        <v>21</v>
      </c>
      <c r="G184" s="3">
        <v>22926000</v>
      </c>
      <c r="H184" s="3">
        <v>19343000</v>
      </c>
      <c r="I184" s="3">
        <v>125778000</v>
      </c>
      <c r="J184" s="3">
        <v>105670000</v>
      </c>
      <c r="K184" s="3">
        <v>82104000</v>
      </c>
      <c r="L184" s="3">
        <v>69031000</v>
      </c>
      <c r="M184" s="3">
        <v>82955000</v>
      </c>
      <c r="N184" s="3">
        <v>106200000</v>
      </c>
      <c r="O184" s="4">
        <v>99200000</v>
      </c>
      <c r="P184" s="3">
        <v>26478000</v>
      </c>
      <c r="Q184" s="3">
        <v>25722000</v>
      </c>
      <c r="R184" s="3">
        <v>23000000</v>
      </c>
      <c r="S184" s="3">
        <v>24000000</v>
      </c>
    </row>
    <row r="185" spans="1:1022 1027:2048 2053:3060 3074:4086 4100:5112 5126:6138 6152:7164 7178:8190 8204:9216 9230:10237 10242:11263 11268:12275 12289:13301 13315:14327 14341:15353 15367:16379" x14ac:dyDescent="0.2">
      <c r="A185" s="2" t="s">
        <v>55</v>
      </c>
      <c r="B185" s="3" t="s">
        <v>21</v>
      </c>
      <c r="C185" s="3" t="s">
        <v>21</v>
      </c>
      <c r="D185" s="3" t="s">
        <v>21</v>
      </c>
      <c r="E185" s="3" t="s">
        <v>21</v>
      </c>
      <c r="F185" s="3" t="s">
        <v>21</v>
      </c>
      <c r="G185" s="5">
        <v>0.57999999999999996</v>
      </c>
      <c r="H185" s="5">
        <v>0.43</v>
      </c>
      <c r="I185" s="5">
        <v>2.34</v>
      </c>
      <c r="J185" s="5">
        <v>1.93</v>
      </c>
      <c r="K185" s="5">
        <v>1.21</v>
      </c>
      <c r="L185" s="5">
        <v>0.83</v>
      </c>
      <c r="M185" s="5">
        <v>0.93</v>
      </c>
      <c r="N185" s="5">
        <v>1.1100000000000001</v>
      </c>
      <c r="O185" s="6">
        <v>0.85</v>
      </c>
      <c r="P185" s="5">
        <v>1.28</v>
      </c>
      <c r="Q185" s="5">
        <v>1.1100000000000001</v>
      </c>
      <c r="R185" s="5">
        <v>0.95</v>
      </c>
      <c r="S185" s="5">
        <v>0.85</v>
      </c>
    </row>
    <row r="186" spans="1:1022 1027:2048 2053:3060 3074:4086 4100:5112 5126:6138 6152:7164 7178:8190 8204:9216 9230:10237 10242:11263 11268:12275 12289:13301 13315:14327 14341:15353 15367:16379" x14ac:dyDescent="0.2">
      <c r="A186" s="2" t="s">
        <v>184</v>
      </c>
      <c r="B186" s="3" t="s">
        <v>21</v>
      </c>
      <c r="C186" s="3" t="s">
        <v>21</v>
      </c>
      <c r="D186" s="3" t="s">
        <v>21</v>
      </c>
      <c r="E186" s="3" t="s">
        <v>21</v>
      </c>
      <c r="F186" s="3" t="s">
        <v>21</v>
      </c>
      <c r="G186" s="3">
        <v>-40000000</v>
      </c>
      <c r="H186" s="3" t="s">
        <v>21</v>
      </c>
      <c r="I186" s="3" t="s">
        <v>21</v>
      </c>
      <c r="J186" s="3" t="s">
        <v>21</v>
      </c>
      <c r="K186" s="3" t="s">
        <v>21</v>
      </c>
      <c r="L186" s="3" t="s">
        <v>21</v>
      </c>
      <c r="M186" s="3">
        <v>1103118000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x14ac:dyDescent="0.2">
      <c r="A187" s="2" t="s">
        <v>185</v>
      </c>
      <c r="B187" s="3">
        <v>790410000</v>
      </c>
      <c r="C187" s="3">
        <v>847125000</v>
      </c>
      <c r="D187" s="3">
        <v>903071000</v>
      </c>
      <c r="E187" s="3">
        <v>833369000</v>
      </c>
      <c r="F187" s="3">
        <v>1017247000</v>
      </c>
      <c r="G187" s="3">
        <v>982170000</v>
      </c>
      <c r="H187" s="3">
        <v>1381341000</v>
      </c>
      <c r="I187" s="3">
        <v>1089776000</v>
      </c>
      <c r="J187" s="3">
        <v>1529513000</v>
      </c>
      <c r="K187" s="3">
        <v>2010622000</v>
      </c>
      <c r="L187" s="3">
        <v>2846633000</v>
      </c>
      <c r="M187" s="3">
        <v>3386161000</v>
      </c>
      <c r="N187" s="3">
        <v>3763555000</v>
      </c>
      <c r="O187" s="4">
        <v>4421417000</v>
      </c>
      <c r="P187" s="3">
        <v>1365196000</v>
      </c>
      <c r="Q187" s="3">
        <v>968221000</v>
      </c>
      <c r="R187" s="3">
        <v>952000000</v>
      </c>
      <c r="S187" s="3">
        <v>1136000000</v>
      </c>
    </row>
    <row r="188" spans="1:1022 1027:2048 2053:3060 3074:4086 4100:5112 5126:6138 6152:7164 7178:8190 8204:9216 9230:10237 10242:11263 11268:12275 12289:13301 13315:14327 14341:15353 15367:16379" x14ac:dyDescent="0.2">
      <c r="A188" s="32" t="s">
        <v>186</v>
      </c>
      <c r="B188" s="30">
        <v>820139390</v>
      </c>
      <c r="C188" s="30" t="s">
        <v>21</v>
      </c>
      <c r="D188" s="30" t="s">
        <v>21</v>
      </c>
      <c r="E188" s="30">
        <v>859234578</v>
      </c>
      <c r="F188" s="30">
        <v>1061638486</v>
      </c>
      <c r="G188" s="30">
        <v>1024759348</v>
      </c>
      <c r="H188" s="30">
        <v>1445163469</v>
      </c>
      <c r="I188" s="30">
        <v>1187425021</v>
      </c>
      <c r="J188" s="30">
        <v>1633687034</v>
      </c>
      <c r="K188" s="30">
        <v>2121309064</v>
      </c>
      <c r="L188" s="30">
        <v>2979918899</v>
      </c>
      <c r="M188" s="30">
        <v>3517104923</v>
      </c>
      <c r="N188" s="30">
        <v>3886823184</v>
      </c>
      <c r="O188" s="31">
        <v>4541356538</v>
      </c>
      <c r="P188" s="30" t="s">
        <v>21</v>
      </c>
      <c r="Q188" s="30">
        <v>997745030</v>
      </c>
      <c r="R188" s="30">
        <v>981239892</v>
      </c>
      <c r="S188" s="30">
        <v>1165903361</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t="e">
        <f>(E188/D188)-1</f>
        <v>#VALUE!</v>
      </c>
      <c r="F189" s="24">
        <f t="shared" ref="F189:N189" si="8">(F188/E188)-1</f>
        <v>0.23556303852566796</v>
      </c>
      <c r="G189" s="24">
        <f t="shared" si="8"/>
        <v>-3.4737943741048549E-2</v>
      </c>
      <c r="H189" s="24">
        <f t="shared" si="8"/>
        <v>0.41024668066750825</v>
      </c>
      <c r="I189" s="24">
        <f t="shared" si="8"/>
        <v>-0.17834553220359595</v>
      </c>
      <c r="J189" s="24">
        <f t="shared" si="8"/>
        <v>0.3758233194582481</v>
      </c>
      <c r="K189" s="24">
        <f t="shared" si="8"/>
        <v>0.2984794638457049</v>
      </c>
      <c r="L189" s="24">
        <f t="shared" si="8"/>
        <v>0.40475470999071739</v>
      </c>
      <c r="M189" s="24">
        <f t="shared" si="8"/>
        <v>0.18026867247302225</v>
      </c>
      <c r="N189" s="24">
        <f t="shared" si="8"/>
        <v>0.10512005444655315</v>
      </c>
      <c r="O189" s="24">
        <f>(O188/N188)-1</f>
        <v>0.16839802661833669</v>
      </c>
      <c r="P189" s="24"/>
      <c r="Q189" s="24" t="e">
        <f>(Q188/P188)-1</f>
        <v>#VALUE!</v>
      </c>
      <c r="R189" s="24">
        <f>(R188/Q188)-1</f>
        <v>-1.6542440707522199E-2</v>
      </c>
      <c r="S189" s="24">
        <f>(S188/R188)-1</f>
        <v>0.18819400893252713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0.25281209975009766</v>
      </c>
      <c r="C190" s="26" t="e">
        <f t="shared" si="9"/>
        <v>#VALUE!</v>
      </c>
      <c r="D190" s="26" t="e">
        <f t="shared" si="9"/>
        <v>#VALUE!</v>
      </c>
      <c r="E190" s="26">
        <f t="shared" si="9"/>
        <v>0.24703987526598414</v>
      </c>
      <c r="F190" s="26">
        <f t="shared" si="9"/>
        <v>0.26195612295304849</v>
      </c>
      <c r="G190" s="26">
        <f t="shared" si="9"/>
        <v>0.25765505689479651</v>
      </c>
      <c r="H190" s="26">
        <f t="shared" si="9"/>
        <v>0.32462948555753129</v>
      </c>
      <c r="I190" s="26">
        <f t="shared" si="9"/>
        <v>0.22115051737589228</v>
      </c>
      <c r="J190" s="26">
        <f t="shared" si="9"/>
        <v>0.29842690017351897</v>
      </c>
      <c r="K190" s="26">
        <f t="shared" si="9"/>
        <v>0.31269669699770886</v>
      </c>
      <c r="L190" s="26">
        <f t="shared" si="9"/>
        <v>0.35924503673802416</v>
      </c>
      <c r="M190" s="26">
        <f t="shared" si="9"/>
        <v>0.39406865631975058</v>
      </c>
      <c r="N190" s="26">
        <f t="shared" si="9"/>
        <v>0.4048834460763322</v>
      </c>
      <c r="O190" s="27">
        <f t="shared" si="9"/>
        <v>0.39028740532878808</v>
      </c>
      <c r="P190" s="26" t="e">
        <f t="shared" si="9"/>
        <v>#VALUE!</v>
      </c>
      <c r="Q190" s="26">
        <f t="shared" si="9"/>
        <v>0.3381831163504852</v>
      </c>
      <c r="R190" s="26">
        <f t="shared" si="9"/>
        <v>0.31632491682785302</v>
      </c>
      <c r="S190" s="26">
        <f t="shared" si="9"/>
        <v>0.37755937856217614</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x14ac:dyDescent="0.2">
      <c r="A191" s="2" t="s">
        <v>187</v>
      </c>
      <c r="B191" s="3">
        <v>1196905000</v>
      </c>
      <c r="C191" s="3">
        <v>805929000</v>
      </c>
      <c r="D191" s="3">
        <v>567124000</v>
      </c>
      <c r="E191" s="3">
        <v>1305659000</v>
      </c>
      <c r="F191" s="3">
        <v>995309000</v>
      </c>
      <c r="G191" s="3">
        <v>1391594000</v>
      </c>
      <c r="H191" s="3">
        <v>4069700000</v>
      </c>
      <c r="I191" s="3">
        <v>588473000</v>
      </c>
      <c r="J191" s="3">
        <v>547544000</v>
      </c>
      <c r="K191" s="3">
        <v>2119911000</v>
      </c>
      <c r="L191" s="3">
        <v>3464814000</v>
      </c>
      <c r="M191" s="3">
        <v>3387818000</v>
      </c>
      <c r="N191" s="3">
        <v>3722819000</v>
      </c>
      <c r="O191" s="4">
        <v>4381049000</v>
      </c>
      <c r="P191" s="3">
        <v>1355012000</v>
      </c>
      <c r="Q191" s="3">
        <v>958037000</v>
      </c>
      <c r="R191" s="3">
        <v>942000000</v>
      </c>
      <c r="S191" s="3">
        <v>1126000000</v>
      </c>
    </row>
    <row r="192" spans="1:1022 1027:2048 2053:3060 3074:4086 4100:5112 5126:6138 6152:7164 7178:8190 8204:9216 9230:10237 10242:11263 11268:12275 12289:13301 13315:14327 14341:15353 15367:16379" x14ac:dyDescent="0.2">
      <c r="A192" s="2" t="s">
        <v>188</v>
      </c>
      <c r="B192" s="5">
        <v>1.75</v>
      </c>
      <c r="C192" s="5">
        <v>2.14</v>
      </c>
      <c r="D192" s="5">
        <v>2.2400000000000002</v>
      </c>
      <c r="E192" s="5">
        <v>2.11</v>
      </c>
      <c r="F192" s="5">
        <v>2.59</v>
      </c>
      <c r="G192" s="5">
        <v>2.69</v>
      </c>
      <c r="H192" s="5">
        <v>3.81</v>
      </c>
      <c r="I192" s="5">
        <v>2.7</v>
      </c>
      <c r="J192" s="5">
        <v>3.78</v>
      </c>
      <c r="K192" s="3">
        <v>5</v>
      </c>
      <c r="L192" s="5">
        <v>7.06</v>
      </c>
      <c r="M192" s="5">
        <v>8.64</v>
      </c>
      <c r="N192" s="5">
        <v>10.210000000000001</v>
      </c>
      <c r="O192" s="6">
        <v>12.06</v>
      </c>
      <c r="P192" s="5">
        <v>3.74</v>
      </c>
      <c r="Q192" s="5">
        <v>2.65</v>
      </c>
      <c r="R192" s="5">
        <v>2.59</v>
      </c>
      <c r="S192" s="5">
        <v>3.08</v>
      </c>
    </row>
    <row r="193" spans="1:19" x14ac:dyDescent="0.2">
      <c r="A193" s="2" t="s">
        <v>189</v>
      </c>
      <c r="B193" s="5">
        <v>5.68</v>
      </c>
      <c r="C193" s="5">
        <v>5.82</v>
      </c>
      <c r="D193" s="5">
        <v>6.47</v>
      </c>
      <c r="E193" s="5">
        <v>9.33</v>
      </c>
      <c r="F193" s="5">
        <v>7.54</v>
      </c>
      <c r="G193" s="5">
        <v>8.67</v>
      </c>
      <c r="H193" s="5">
        <v>7.62</v>
      </c>
      <c r="I193" s="5">
        <v>11.13</v>
      </c>
      <c r="J193" s="5">
        <v>6.94</v>
      </c>
      <c r="K193" s="5">
        <v>8.4600000000000009</v>
      </c>
      <c r="L193" s="5">
        <v>5.0599999999999996</v>
      </c>
      <c r="M193" s="5">
        <v>5.13</v>
      </c>
      <c r="N193" s="5">
        <v>6.13</v>
      </c>
      <c r="O193" s="6">
        <v>6.22</v>
      </c>
      <c r="P193" s="5">
        <v>4.7300000000000004</v>
      </c>
      <c r="Q193" s="5">
        <v>6.15</v>
      </c>
      <c r="R193" s="5">
        <v>5.98</v>
      </c>
      <c r="S193" s="5">
        <v>6.24</v>
      </c>
    </row>
    <row r="194" spans="1:19" x14ac:dyDescent="0.2">
      <c r="A194" s="2" t="s">
        <v>190</v>
      </c>
      <c r="B194" s="5">
        <v>0.95</v>
      </c>
      <c r="C194" s="5">
        <v>1.98</v>
      </c>
      <c r="D194" s="5">
        <v>1.55</v>
      </c>
      <c r="E194" s="5">
        <v>1.2</v>
      </c>
      <c r="F194" s="5">
        <v>1.24</v>
      </c>
      <c r="G194" s="5">
        <v>1.86</v>
      </c>
      <c r="H194" s="5">
        <v>2.02</v>
      </c>
      <c r="I194" s="5">
        <v>1.8</v>
      </c>
      <c r="J194" s="5">
        <v>2.06</v>
      </c>
      <c r="K194" s="5">
        <v>1.25</v>
      </c>
      <c r="L194" s="5">
        <v>2.0499999999999998</v>
      </c>
      <c r="M194" s="5">
        <v>1.59</v>
      </c>
      <c r="N194" s="5">
        <v>2.58</v>
      </c>
      <c r="O194" s="6">
        <v>1.98</v>
      </c>
      <c r="P194" s="5">
        <v>80.680000000000007</v>
      </c>
      <c r="Q194" s="5">
        <v>1.1399999999999999</v>
      </c>
      <c r="R194" s="5">
        <v>1.35</v>
      </c>
      <c r="S194" s="5">
        <v>1.72</v>
      </c>
    </row>
    <row r="196" spans="1:19" x14ac:dyDescent="0.2">
      <c r="A196" s="7"/>
    </row>
    <row r="197" spans="1:19" ht="15" x14ac:dyDescent="0.2"/>
    <row r="198" spans="1:19" ht="15" x14ac:dyDescent="0.2"/>
    <row r="199" spans="1:19" ht="15" x14ac:dyDescent="0.2"/>
  </sheetData>
  <hyperlinks>
    <hyperlink ref="A1" r:id="rId1" tooltip="ROIC AI" display="ROIC AI" xr:uid="{00000000-0004-0000-0000-000000000000}"/>
  </hyperlinks>
  <pageMargins left="0.7" right="0.7" top="0.75" bottom="0.75" header="0.3" footer="0.3"/>
  <ignoredErrors>
    <ignoredError sqref="B1:S2 A4:S7 A15:S15 A19:S33 A37:S95 A9:S11 A13 A191:S195 A96:L96 A97:S128 A130:S142 A144:S188 A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1919-5D6C-314E-8137-8DBBA9441DB8}">
  <dimension ref="A1:P110"/>
  <sheetViews>
    <sheetView tabSelected="1" workbookViewId="0">
      <selection activeCell="G20" sqref="G20"/>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35" cm="1">
        <f t="array" ref="A3">_FV(A1,"Market cap",TRUE)</f>
        <v>31868944935</v>
      </c>
      <c r="B3" s="36" t="s">
        <v>201</v>
      </c>
      <c r="C3" s="37">
        <f>Financials!O8*0.01</f>
        <v>1</v>
      </c>
      <c r="D3" s="36" t="s">
        <v>202</v>
      </c>
      <c r="E3" s="37">
        <f>SUM(C11:E11)/3</f>
        <v>0.12476907768939971</v>
      </c>
      <c r="F3" s="38" t="s">
        <v>203</v>
      </c>
      <c r="G3" s="39">
        <f>SUM(Financials!K129:N129)/4</f>
        <v>-2.010074699756173E-2</v>
      </c>
      <c r="H3" s="38" t="s">
        <v>204</v>
      </c>
      <c r="I3" s="40">
        <f>J14*(1+I7)/(I6-I7)</f>
        <v>111697903661.14667</v>
      </c>
      <c r="J3" s="36" t="s">
        <v>205</v>
      </c>
      <c r="K3" s="41"/>
      <c r="L3" s="42"/>
      <c r="M3" s="43"/>
      <c r="N3" s="44" t="s">
        <v>206</v>
      </c>
      <c r="O3" s="45"/>
      <c r="P3" s="43"/>
    </row>
    <row r="4" spans="1:16" ht="22" customHeight="1" x14ac:dyDescent="0.2">
      <c r="A4" s="46">
        <f>Financials!O56-Financials!O96-Financials!O105</f>
        <v>21314000000</v>
      </c>
      <c r="B4" s="47" t="s">
        <v>207</v>
      </c>
      <c r="C4" s="48">
        <f>Financials!O17*0.01</f>
        <v>0</v>
      </c>
      <c r="D4" s="47" t="s">
        <v>208</v>
      </c>
      <c r="E4" s="48">
        <f>SUM(C13:E13)/3</f>
        <v>2.6090647231849656E-2</v>
      </c>
      <c r="F4" s="49" t="s">
        <v>209</v>
      </c>
      <c r="G4" s="50">
        <f>A5*(1+(5*G3))</f>
        <v>335470999.87023634</v>
      </c>
      <c r="H4" s="51" t="s">
        <v>210</v>
      </c>
      <c r="I4" s="52">
        <f>NPV(I6,F14,G14,H14,I14,(J14+I3))</f>
        <v>94791235331.14183</v>
      </c>
      <c r="J4" s="49" t="s">
        <v>211</v>
      </c>
      <c r="K4" s="39" cm="1">
        <f t="array" ref="K4">_FV(A1,"Change (%)",TRUE)</f>
        <v>-1.3507E-2</v>
      </c>
      <c r="L4" s="38" t="s">
        <v>212</v>
      </c>
      <c r="M4" s="43"/>
      <c r="N4" s="53" t="s">
        <v>213</v>
      </c>
      <c r="O4" s="54"/>
      <c r="P4" s="43"/>
    </row>
    <row r="5" spans="1:16" ht="22" customHeight="1" x14ac:dyDescent="0.2">
      <c r="A5" s="50" cm="1">
        <f t="array" ref="A5">_FV(A1,"Shares outstanding",TRUE)</f>
        <v>372954300</v>
      </c>
      <c r="B5" s="47" t="s">
        <v>214</v>
      </c>
      <c r="C5" s="55">
        <f>Financials!O34*0.01</f>
        <v>0.19450000000000001</v>
      </c>
      <c r="D5" s="47" t="s">
        <v>215</v>
      </c>
      <c r="E5" s="48">
        <f>SUM(C15:E15)/3</f>
        <v>0.23004781230343094</v>
      </c>
      <c r="F5" s="49" t="s">
        <v>216</v>
      </c>
      <c r="G5" s="50">
        <f>Financials!O56</f>
        <v>24040000000</v>
      </c>
      <c r="H5" s="51" t="s">
        <v>217</v>
      </c>
      <c r="I5" s="52">
        <f>I4+G5-G6</f>
        <v>116105235331.14183</v>
      </c>
      <c r="J5" s="49" t="s">
        <v>218</v>
      </c>
      <c r="K5" s="56" cm="1">
        <f t="array" ref="K5">_FV(A1,"Price")</f>
        <v>85.45</v>
      </c>
      <c r="L5" s="47" t="s">
        <v>219</v>
      </c>
      <c r="M5" s="43"/>
      <c r="N5" s="57" t="s">
        <v>220</v>
      </c>
      <c r="O5" s="58">
        <f>Financials!O21</f>
        <v>129763000</v>
      </c>
      <c r="P5" s="43"/>
    </row>
    <row r="6" spans="1:16" ht="22" customHeight="1" x14ac:dyDescent="0.2">
      <c r="A6" s="59">
        <f>O20/F10</f>
        <v>2.3825467206190192</v>
      </c>
      <c r="B6" s="47" t="s">
        <v>221</v>
      </c>
      <c r="C6" s="48">
        <f>Financials!O190</f>
        <v>0.39028740532878808</v>
      </c>
      <c r="D6" s="60" t="s">
        <v>200</v>
      </c>
      <c r="E6" s="48">
        <f>Financials!O33/Financials!O126</f>
        <v>0.15453042409342349</v>
      </c>
      <c r="F6" s="47" t="s">
        <v>222</v>
      </c>
      <c r="G6" s="52">
        <f>Financials!O96+Financials!O105</f>
        <v>2726000000</v>
      </c>
      <c r="H6" s="51" t="s">
        <v>223</v>
      </c>
      <c r="I6" s="61">
        <f>N25</f>
        <v>7.1038688564830754E-2</v>
      </c>
      <c r="J6" s="51" t="s">
        <v>224</v>
      </c>
      <c r="K6" s="62">
        <f>I5/G4</f>
        <v>346.09619125364799</v>
      </c>
      <c r="L6" s="63" t="s">
        <v>225</v>
      </c>
      <c r="M6" s="43"/>
      <c r="N6" s="64" t="s">
        <v>226</v>
      </c>
      <c r="O6" s="65">
        <f>Financials!O96</f>
        <v>0</v>
      </c>
      <c r="P6" s="43"/>
    </row>
    <row r="7" spans="1:16" ht="22" customHeight="1" x14ac:dyDescent="0.2">
      <c r="A7" s="66">
        <f>O20/F12</f>
        <v>11.820825272626113</v>
      </c>
      <c r="B7" s="67" t="s">
        <v>227</v>
      </c>
      <c r="C7" s="68">
        <f>F14/O21</f>
        <v>6.2379055785596382E-2</v>
      </c>
      <c r="D7" s="69" t="s">
        <v>228</v>
      </c>
      <c r="E7" s="70">
        <f>(Financials!O16*(1-0.25))/(Financials!O126+Financials!O105+Financials!O96)</f>
        <v>0</v>
      </c>
      <c r="F7" s="67" t="s">
        <v>196</v>
      </c>
      <c r="G7" s="71">
        <f>(Financials!O96+Financials!O105)/Financials!O126</f>
        <v>0.18616403742402513</v>
      </c>
      <c r="H7" s="72" t="s">
        <v>229</v>
      </c>
      <c r="I7" s="73">
        <v>2.5000000000000001E-2</v>
      </c>
      <c r="J7" s="74" t="s">
        <v>230</v>
      </c>
      <c r="K7" s="75">
        <f>K6/K5-1</f>
        <v>3.0502772528220943</v>
      </c>
      <c r="L7" s="76" t="s">
        <v>231</v>
      </c>
      <c r="M7" s="43"/>
      <c r="N7" s="64" t="s">
        <v>232</v>
      </c>
      <c r="O7" s="65">
        <f>Financials!O105</f>
        <v>2726000000</v>
      </c>
      <c r="P7" s="43"/>
    </row>
    <row r="8" spans="1:16" ht="22" customHeight="1" x14ac:dyDescent="0.2">
      <c r="A8" s="77"/>
      <c r="B8" s="43"/>
      <c r="C8" s="43"/>
      <c r="D8" s="43"/>
      <c r="E8" s="43"/>
      <c r="F8" s="43"/>
      <c r="G8" s="43"/>
      <c r="H8" s="43"/>
      <c r="I8" s="43"/>
      <c r="J8" s="43"/>
      <c r="K8" s="43"/>
      <c r="L8" s="43"/>
      <c r="M8" s="43"/>
      <c r="N8" s="78" t="s">
        <v>213</v>
      </c>
      <c r="O8" s="79">
        <f>O5/(O6+O7)</f>
        <v>4.7601980924431402E-2</v>
      </c>
      <c r="P8" s="43"/>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177019000</v>
      </c>
      <c r="P9" s="43"/>
    </row>
    <row r="10" spans="1:16" ht="22" customHeight="1" x14ac:dyDescent="0.2">
      <c r="A10" s="86" t="s">
        <v>234</v>
      </c>
      <c r="B10" s="87">
        <v>6783919000</v>
      </c>
      <c r="C10" s="87">
        <v>8294948000</v>
      </c>
      <c r="D10" s="87">
        <v>8925107000</v>
      </c>
      <c r="E10" s="87">
        <v>9599857000</v>
      </c>
      <c r="F10" s="88">
        <v>13376000000</v>
      </c>
      <c r="G10" s="87">
        <v>14244000000</v>
      </c>
      <c r="H10" s="87">
        <v>15655000000</v>
      </c>
      <c r="I10" s="87">
        <v>16829000000</v>
      </c>
      <c r="J10" s="87">
        <v>17418000000</v>
      </c>
      <c r="K10" s="89" t="s">
        <v>235</v>
      </c>
      <c r="N10" s="64" t="s">
        <v>236</v>
      </c>
      <c r="O10" s="65">
        <f>Financials!O24</f>
        <v>2338332000</v>
      </c>
      <c r="P10" s="43"/>
    </row>
    <row r="11" spans="1:16" ht="22" customHeight="1" x14ac:dyDescent="0.2">
      <c r="A11" s="90"/>
      <c r="B11" s="91"/>
      <c r="C11" s="91">
        <f t="shared" ref="C11:J11" si="0">(C10/B10)-1</f>
        <v>0.22273688704125161</v>
      </c>
      <c r="D11" s="91">
        <f t="shared" si="0"/>
        <v>7.5969011499529504E-2</v>
      </c>
      <c r="E11" s="91">
        <f t="shared" si="0"/>
        <v>7.5601334527418018E-2</v>
      </c>
      <c r="F11" s="92">
        <f t="shared" si="0"/>
        <v>0.39335408850360998</v>
      </c>
      <c r="G11" s="91">
        <f t="shared" si="0"/>
        <v>6.4892344497607723E-2</v>
      </c>
      <c r="H11" s="91">
        <f t="shared" si="0"/>
        <v>9.9059253018815019E-2</v>
      </c>
      <c r="I11" s="91">
        <f t="shared" si="0"/>
        <v>7.4992015330565209E-2</v>
      </c>
      <c r="J11" s="91">
        <f t="shared" si="0"/>
        <v>3.4999108681442737E-2</v>
      </c>
      <c r="K11" s="93">
        <f>SUM(F11:J11)/5</f>
        <v>0.13345936200640812</v>
      </c>
      <c r="L11" s="85"/>
      <c r="M11" s="85"/>
      <c r="N11" s="64" t="s">
        <v>237</v>
      </c>
      <c r="O11" s="94">
        <f>O9/O10</f>
        <v>7.570310802743152E-2</v>
      </c>
      <c r="P11" s="43"/>
    </row>
    <row r="12" spans="1:16" ht="22" customHeight="1" x14ac:dyDescent="0.2">
      <c r="A12" s="86" t="s">
        <v>142</v>
      </c>
      <c r="B12" s="87">
        <v>1636319000</v>
      </c>
      <c r="C12" s="87">
        <v>1405521000</v>
      </c>
      <c r="D12" s="87">
        <v>2156849000</v>
      </c>
      <c r="E12" s="87">
        <v>1476933000</v>
      </c>
      <c r="F12" s="88">
        <v>2696000000</v>
      </c>
      <c r="G12" s="87">
        <v>2771000000</v>
      </c>
      <c r="H12" s="87">
        <v>3116000000</v>
      </c>
      <c r="I12" s="87">
        <v>3528000000</v>
      </c>
      <c r="J12" s="87">
        <v>3652000000</v>
      </c>
      <c r="K12" s="89" t="s">
        <v>238</v>
      </c>
      <c r="L12" s="85"/>
      <c r="M12" s="85"/>
      <c r="N12" s="95" t="s">
        <v>239</v>
      </c>
      <c r="O12" s="96">
        <f>O8*(1-O11)</f>
        <v>4.3998363020189439E-2</v>
      </c>
      <c r="P12" s="43"/>
    </row>
    <row r="13" spans="1:16" ht="22" customHeight="1" x14ac:dyDescent="0.2">
      <c r="A13" s="90"/>
      <c r="B13" s="91"/>
      <c r="C13" s="91">
        <f t="shared" ref="C13:J13" si="1">(C12/B12)-1</f>
        <v>-0.14104706967284497</v>
      </c>
      <c r="D13" s="91">
        <f t="shared" si="1"/>
        <v>0.53455480209829664</v>
      </c>
      <c r="E13" s="91">
        <f t="shared" si="1"/>
        <v>-0.31523579072990271</v>
      </c>
      <c r="F13" s="92">
        <f t="shared" si="1"/>
        <v>0.82540440223083911</v>
      </c>
      <c r="G13" s="91">
        <f t="shared" si="1"/>
        <v>2.7818991097922741E-2</v>
      </c>
      <c r="H13" s="91">
        <f t="shared" si="1"/>
        <v>0.12450378924575967</v>
      </c>
      <c r="I13" s="91">
        <f t="shared" si="1"/>
        <v>0.13222079589216951</v>
      </c>
      <c r="J13" s="91">
        <f t="shared" si="1"/>
        <v>3.5147392290249435E-2</v>
      </c>
      <c r="K13" s="93">
        <f>SUM(F13:J13)/5</f>
        <v>0.22901907415138809</v>
      </c>
      <c r="L13" s="85"/>
      <c r="M13" s="85"/>
      <c r="N13" s="53" t="s">
        <v>240</v>
      </c>
      <c r="O13" s="54"/>
      <c r="P13" s="43"/>
    </row>
    <row r="14" spans="1:16" ht="22" customHeight="1" x14ac:dyDescent="0.2">
      <c r="A14" s="86" t="s">
        <v>185</v>
      </c>
      <c r="B14" s="87">
        <v>2121309064</v>
      </c>
      <c r="C14" s="87">
        <v>2979918899</v>
      </c>
      <c r="D14" s="87">
        <v>3517104923</v>
      </c>
      <c r="E14" s="87">
        <v>3886823184</v>
      </c>
      <c r="F14" s="88">
        <v>2158000000</v>
      </c>
      <c r="G14" s="87">
        <v>3667000000</v>
      </c>
      <c r="H14" s="87">
        <v>4008000000</v>
      </c>
      <c r="I14" s="87">
        <v>4611000000</v>
      </c>
      <c r="J14" s="87">
        <v>5017000000</v>
      </c>
      <c r="K14" s="89" t="s">
        <v>241</v>
      </c>
      <c r="L14" s="85"/>
      <c r="M14" s="85"/>
      <c r="N14" s="64" t="s">
        <v>242</v>
      </c>
      <c r="O14" s="94">
        <f>'[1]US Treasury Bonds'!$C$8</f>
        <v>4.8470000000000006E-2</v>
      </c>
      <c r="P14" s="43"/>
    </row>
    <row r="15" spans="1:16" ht="22" customHeight="1" x14ac:dyDescent="0.2">
      <c r="A15" s="97"/>
      <c r="B15" s="91"/>
      <c r="C15" s="91">
        <f t="shared" ref="C15:J15" si="2">(C14/B14)-1</f>
        <v>0.40475470999071739</v>
      </c>
      <c r="D15" s="91">
        <f t="shared" si="2"/>
        <v>0.18026867247302225</v>
      </c>
      <c r="E15" s="91">
        <f t="shared" si="2"/>
        <v>0.10512005444655315</v>
      </c>
      <c r="F15" s="92">
        <f t="shared" si="2"/>
        <v>-0.44479079756358686</v>
      </c>
      <c r="G15" s="91">
        <f t="shared" si="2"/>
        <v>0.69925857275254866</v>
      </c>
      <c r="H15" s="91">
        <f t="shared" si="2"/>
        <v>9.2991546223070598E-2</v>
      </c>
      <c r="I15" s="91">
        <f t="shared" si="2"/>
        <v>0.15044910179640714</v>
      </c>
      <c r="J15" s="91">
        <f t="shared" si="2"/>
        <v>8.8050314465408785E-2</v>
      </c>
      <c r="K15" s="93">
        <f>SUM(F15:J15)/5</f>
        <v>0.11719174753476966</v>
      </c>
      <c r="L15" s="85"/>
      <c r="M15" s="85"/>
      <c r="N15" s="64" t="s">
        <v>243</v>
      </c>
      <c r="O15" s="98" cm="1">
        <f t="array" ref="O15">_FV(A1,"Beta")</f>
        <v>0.70030000000000003</v>
      </c>
      <c r="P15" s="43"/>
    </row>
    <row r="16" spans="1:16" ht="22" customHeight="1" x14ac:dyDescent="0.2">
      <c r="A16" s="86" t="s">
        <v>196</v>
      </c>
      <c r="B16" s="99">
        <v>4.1971268717881953E-3</v>
      </c>
      <c r="C16" s="99">
        <v>3.0447257246001159E-3</v>
      </c>
      <c r="D16" s="99">
        <v>3.8217489541923309E-3</v>
      </c>
      <c r="E16" s="99">
        <v>5.0906565074248806E-3</v>
      </c>
      <c r="F16" s="100"/>
      <c r="G16" s="101"/>
      <c r="H16" s="101"/>
      <c r="I16" s="101"/>
      <c r="J16" s="101"/>
      <c r="K16" s="102"/>
      <c r="L16" s="85"/>
      <c r="M16" s="85"/>
      <c r="N16" s="64" t="s">
        <v>244</v>
      </c>
      <c r="O16" s="94">
        <v>8.4000000000000005E-2</v>
      </c>
      <c r="P16" s="43"/>
    </row>
    <row r="17" spans="1:16" ht="22" customHeight="1" x14ac:dyDescent="0.2">
      <c r="A17" s="85"/>
      <c r="B17" s="103"/>
      <c r="C17" s="103"/>
      <c r="D17" s="103"/>
      <c r="E17" s="103"/>
      <c r="F17" s="85"/>
      <c r="G17" s="85"/>
      <c r="H17" s="85"/>
      <c r="I17" s="85"/>
      <c r="J17" s="85"/>
      <c r="K17" s="85"/>
      <c r="L17" s="85"/>
      <c r="M17" s="85"/>
      <c r="N17" s="104" t="s">
        <v>240</v>
      </c>
      <c r="O17" s="105">
        <f>(O14)+((O15)*(O16-O14))</f>
        <v>7.3351659000000013E-2</v>
      </c>
      <c r="P17" s="43"/>
    </row>
    <row r="18" spans="1:16" ht="22" customHeight="1" x14ac:dyDescent="0.2">
      <c r="A18" s="85"/>
      <c r="B18" s="85"/>
      <c r="C18" s="85"/>
      <c r="D18" s="85"/>
      <c r="E18" s="85"/>
      <c r="F18" s="85"/>
      <c r="G18" s="85"/>
      <c r="H18" s="85"/>
      <c r="I18" s="85"/>
      <c r="J18" s="85"/>
      <c r="K18" s="85"/>
      <c r="L18" s="85"/>
      <c r="M18" s="85"/>
      <c r="N18" s="53" t="s">
        <v>245</v>
      </c>
      <c r="O18" s="54"/>
      <c r="P18" s="43"/>
    </row>
    <row r="19" spans="1:16" ht="22" customHeight="1" x14ac:dyDescent="0.2">
      <c r="A19" s="106" t="str" cm="1">
        <f t="array" ref="A19">_FV(A1,"Industry")</f>
        <v>Insurance</v>
      </c>
      <c r="B19" s="106"/>
      <c r="C19" s="107" cm="1">
        <f t="array" ref="C19">_FV(A1,"Year incorporated",TRUE)</f>
        <v>2000</v>
      </c>
      <c r="D19" s="107"/>
      <c r="E19" s="108"/>
      <c r="F19" s="85"/>
      <c r="G19" s="85"/>
      <c r="H19" s="85"/>
      <c r="I19" s="85"/>
      <c r="J19" s="85"/>
      <c r="K19" s="85"/>
      <c r="L19" s="85"/>
      <c r="M19" s="85"/>
      <c r="N19" s="64" t="s">
        <v>223</v>
      </c>
      <c r="O19" s="109">
        <f>O6+O7</f>
        <v>2726000000</v>
      </c>
      <c r="P19" s="43"/>
    </row>
    <row r="20" spans="1:16" ht="22" customHeight="1" x14ac:dyDescent="0.2">
      <c r="A20" s="110" t="str" cm="1">
        <f t="array" ref="A20">_FV(A1,"Description")</f>
        <v>Arch Capital Group Ltd. is a Bermuda-based company that provides insurance, reinsurance and mortgage insurance through its wholly owned subsidiaries. Its insurance segment consists of the Company’s insurance underwriting units, which offer specialty product lines, including construction and national accounts; excess and surplus casualty; lenders products; professional lines; programs; property, energy, marine and aviation; travel, accident and health, and other (consisting of alternative markets, excess workers' compensation and surety business). The reinsurance segment consists of the Company’s reinsurance underwriting units, which offer specialty product lines, including casualty; marine and aviation; other specialty; property catastrophe; property excluding property catastrophe, and other. The mortgage segment includes the Company’s United States primary mortgage insurance business, investment and services related to United States credit-risk transfer (CRT).</v>
      </c>
      <c r="B20" s="110"/>
      <c r="C20" s="110"/>
      <c r="D20" s="110"/>
      <c r="E20" s="110"/>
      <c r="F20" s="85"/>
      <c r="G20" s="85"/>
      <c r="H20" s="85"/>
      <c r="I20" s="85"/>
      <c r="J20" s="85"/>
      <c r="K20" s="85"/>
      <c r="L20" s="85"/>
      <c r="M20" s="85"/>
      <c r="N20" s="64" t="s">
        <v>201</v>
      </c>
      <c r="O20" s="109" cm="1">
        <f t="array" ref="O20">_FV(A1,"Market cap",TRUE)</f>
        <v>31868944935</v>
      </c>
      <c r="P20" s="43"/>
    </row>
    <row r="21" spans="1:16" ht="22" customHeight="1" x14ac:dyDescent="0.2">
      <c r="A21" s="110"/>
      <c r="B21" s="110"/>
      <c r="C21" s="110"/>
      <c r="D21" s="110"/>
      <c r="E21" s="110"/>
      <c r="F21" s="85"/>
      <c r="G21" s="85"/>
      <c r="H21" s="85"/>
      <c r="I21" s="85"/>
      <c r="J21" s="85"/>
      <c r="K21" s="85"/>
      <c r="M21" s="85"/>
      <c r="N21" s="64" t="s">
        <v>246</v>
      </c>
      <c r="O21" s="109">
        <f>O19+O20</f>
        <v>34594944935</v>
      </c>
      <c r="P21" s="43"/>
    </row>
    <row r="22" spans="1:16" ht="22" customHeight="1" x14ac:dyDescent="0.2">
      <c r="A22" s="110"/>
      <c r="B22" s="110"/>
      <c r="C22" s="110"/>
      <c r="D22" s="110"/>
      <c r="E22" s="110"/>
      <c r="F22" s="85"/>
      <c r="G22" s="85"/>
      <c r="H22" s="85"/>
      <c r="I22" s="85"/>
      <c r="J22" s="85"/>
      <c r="K22" s="85"/>
      <c r="L22" s="85"/>
      <c r="M22" s="85"/>
      <c r="N22" s="78" t="s">
        <v>247</v>
      </c>
      <c r="O22" s="111">
        <f>(O19/O21)</f>
        <v>7.8797639514150017E-2</v>
      </c>
      <c r="P22" s="43"/>
    </row>
    <row r="23" spans="1:16" ht="22" customHeight="1" x14ac:dyDescent="0.2">
      <c r="A23" s="110"/>
      <c r="B23" s="110"/>
      <c r="C23" s="110"/>
      <c r="D23" s="110"/>
      <c r="E23" s="110"/>
      <c r="F23" s="85"/>
      <c r="G23" s="85"/>
      <c r="H23" s="85"/>
      <c r="I23" s="85"/>
      <c r="J23" s="85"/>
      <c r="K23" s="85"/>
      <c r="L23" s="85"/>
      <c r="M23" s="85"/>
      <c r="N23" s="104" t="s">
        <v>248</v>
      </c>
      <c r="O23" s="112">
        <f>O20/O21</f>
        <v>0.92120236048585002</v>
      </c>
      <c r="P23" s="43"/>
    </row>
    <row r="24" spans="1:16" ht="22" customHeight="1" x14ac:dyDescent="0.2">
      <c r="A24" s="110"/>
      <c r="B24" s="110"/>
      <c r="C24" s="110"/>
      <c r="D24" s="110"/>
      <c r="E24" s="110"/>
      <c r="F24" s="85"/>
      <c r="G24" s="85"/>
      <c r="H24" s="85"/>
      <c r="I24" s="85"/>
      <c r="J24" s="85"/>
      <c r="K24" s="85"/>
      <c r="L24" s="85"/>
      <c r="M24" s="85"/>
      <c r="N24" s="113" t="s">
        <v>249</v>
      </c>
      <c r="O24" s="114"/>
      <c r="P24" s="43"/>
    </row>
    <row r="25" spans="1:16" ht="22" customHeight="1" x14ac:dyDescent="0.2">
      <c r="A25" s="110"/>
      <c r="B25" s="110"/>
      <c r="C25" s="110"/>
      <c r="D25" s="110"/>
      <c r="E25" s="110"/>
      <c r="F25" s="85"/>
      <c r="G25" s="85"/>
      <c r="H25" s="85"/>
      <c r="I25" s="85"/>
      <c r="J25" s="85"/>
      <c r="K25" s="85"/>
      <c r="L25" s="85"/>
      <c r="M25" s="85"/>
      <c r="N25" s="115">
        <f>(O22*O12)+(O23*O17)</f>
        <v>7.1038688564830754E-2</v>
      </c>
      <c r="O25" s="116"/>
      <c r="P25" s="43"/>
    </row>
    <row r="26" spans="1:16" ht="22" customHeight="1" x14ac:dyDescent="0.2">
      <c r="A26" s="85"/>
      <c r="B26" s="85"/>
      <c r="C26" s="85"/>
      <c r="D26" s="85"/>
      <c r="E26" s="85"/>
      <c r="F26" s="85"/>
      <c r="G26" s="85"/>
      <c r="H26" s="85"/>
      <c r="I26" s="85"/>
      <c r="J26" s="85"/>
      <c r="K26" s="85"/>
      <c r="L26" s="85"/>
      <c r="M26" s="85"/>
      <c r="N26" s="85"/>
      <c r="O26" s="43"/>
      <c r="P26" s="43"/>
    </row>
    <row r="27" spans="1:16" ht="22" customHeight="1" x14ac:dyDescent="0.2">
      <c r="A27" s="85"/>
      <c r="B27" s="85"/>
      <c r="C27" s="85"/>
      <c r="D27" s="85"/>
      <c r="E27" s="85"/>
      <c r="F27" s="85"/>
      <c r="G27" s="85"/>
      <c r="H27" s="85"/>
      <c r="I27" s="85"/>
      <c r="J27" s="85"/>
      <c r="K27" s="85"/>
      <c r="L27" s="85"/>
      <c r="M27" s="85"/>
      <c r="N27" s="85"/>
      <c r="O27" s="43"/>
      <c r="P27" s="43"/>
    </row>
    <row r="28" spans="1:16" ht="22" customHeight="1" x14ac:dyDescent="0.2">
      <c r="A28" s="85"/>
      <c r="B28" s="85"/>
      <c r="C28" s="85"/>
      <c r="D28" s="85"/>
      <c r="E28" s="85"/>
      <c r="F28" s="85"/>
      <c r="G28" s="85"/>
      <c r="H28" s="85"/>
      <c r="I28" s="85"/>
      <c r="J28" s="85"/>
      <c r="K28" s="85"/>
      <c r="L28" s="85"/>
      <c r="M28" s="85"/>
      <c r="N28" s="85"/>
      <c r="O28" s="43"/>
      <c r="P28" s="43"/>
    </row>
    <row r="29" spans="1:16" ht="22" customHeight="1" x14ac:dyDescent="0.2">
      <c r="A29" s="85"/>
      <c r="B29" s="85"/>
      <c r="C29" s="85"/>
      <c r="D29" s="85"/>
      <c r="E29" s="85"/>
      <c r="F29" s="85"/>
      <c r="G29" s="85"/>
      <c r="H29" s="85"/>
      <c r="I29" s="85"/>
      <c r="J29" s="85"/>
      <c r="K29" s="85"/>
      <c r="L29" s="85"/>
      <c r="M29" s="85"/>
      <c r="N29" s="85"/>
      <c r="O29" s="43"/>
      <c r="P29" s="43"/>
    </row>
    <row r="30" spans="1:16" ht="22" customHeight="1" x14ac:dyDescent="0.2">
      <c r="A30" s="85"/>
      <c r="B30" s="85"/>
      <c r="C30" s="85"/>
      <c r="D30" s="85"/>
      <c r="E30" s="85"/>
      <c r="F30" s="85"/>
      <c r="G30" s="85"/>
      <c r="H30" s="85"/>
      <c r="I30" s="85"/>
      <c r="J30" s="85"/>
      <c r="K30" s="85"/>
      <c r="L30" s="85"/>
      <c r="M30" s="85"/>
      <c r="N30" s="85"/>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ASDAQGS:ACGL/explorer/revenue_proj" xr:uid="{AF29AF19-C468-6347-A7C5-EC65CCAA53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2023-10-19T09:47:26Z</dcterms:modified>
</cp:coreProperties>
</file>