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43AE56FF-C828-3D4B-AC47-5C3F2DE2957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5" i="1" l="1"/>
  <c r="AJ105" i="1"/>
  <c r="AI105" i="1"/>
  <c r="AH105" i="1"/>
  <c r="AG105" i="1"/>
  <c r="AO7" i="1"/>
  <c r="AL7" i="1"/>
  <c r="AG6" i="1"/>
  <c r="AG106" i="1" l="1"/>
  <c r="AK106" i="1"/>
  <c r="AJ106" i="1"/>
  <c r="AI106" i="1"/>
  <c r="AH106" i="1"/>
  <c r="AL106" i="1" l="1"/>
  <c r="AH30" i="1"/>
  <c r="AI30" i="1"/>
  <c r="AJ30" i="1"/>
  <c r="AK30" i="1"/>
  <c r="AG30" i="1"/>
  <c r="AN7" i="1" s="1"/>
  <c r="AG29" i="1"/>
  <c r="AH29" i="1"/>
  <c r="AI29" i="1"/>
  <c r="AJ29" i="1"/>
  <c r="AK29" i="1"/>
  <c r="AH21" i="1"/>
  <c r="AI21" i="1"/>
  <c r="AJ21" i="1"/>
  <c r="AK21" i="1"/>
  <c r="AG21" i="1"/>
  <c r="AM7" i="1" s="1"/>
  <c r="AG20" i="1"/>
  <c r="AH20" i="1"/>
  <c r="AI20" i="1"/>
  <c r="AJ20" i="1"/>
  <c r="AK20" i="1"/>
  <c r="AM22" i="1" l="1"/>
  <c r="AG109" i="1"/>
  <c r="AH109" i="1"/>
  <c r="AI109" i="1"/>
  <c r="AJ109" i="1"/>
  <c r="C106" i="1" l="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H117" i="1" l="1" a="1"/>
  <c r="AH117" i="1" s="1"/>
  <c r="AN102" i="1" a="1"/>
  <c r="AN102" i="1" s="1"/>
  <c r="AN96" i="1" a="1"/>
  <c r="AN96" i="1" s="1"/>
  <c r="AL19" i="1"/>
  <c r="AH112" i="1"/>
  <c r="AN91" i="1"/>
  <c r="AN90" i="1"/>
  <c r="AN88" i="1"/>
  <c r="AN87" i="1"/>
  <c r="AN86" i="1"/>
  <c r="AO13" i="1"/>
  <c r="AN13" i="1"/>
  <c r="AM13" i="1"/>
  <c r="AL13" i="1"/>
  <c r="AN10" i="1"/>
  <c r="AO4" i="1"/>
  <c r="AK4" i="1"/>
  <c r="AJ4" i="1"/>
  <c r="AI4" i="1"/>
  <c r="AH4" i="1"/>
  <c r="AG4" i="1"/>
  <c r="W4" i="1"/>
  <c r="X4" i="1"/>
  <c r="Y4" i="1"/>
  <c r="Z4" i="1"/>
  <c r="AA4" i="1"/>
  <c r="AB4" i="1"/>
  <c r="AC4" i="1"/>
  <c r="AD4" i="1"/>
  <c r="AE4" i="1"/>
  <c r="AF4" i="1"/>
  <c r="AL4" i="1" s="1"/>
  <c r="R9" i="1"/>
  <c r="S9" i="1"/>
  <c r="T9" i="1"/>
  <c r="U9" i="1"/>
  <c r="V9" i="1"/>
  <c r="W9" i="1"/>
  <c r="X9" i="1"/>
  <c r="Y9" i="1"/>
  <c r="Z9" i="1"/>
  <c r="AA9" i="1"/>
  <c r="AB9" i="1"/>
  <c r="AC9" i="1"/>
  <c r="AD9" i="1"/>
  <c r="AE9" i="1"/>
  <c r="AF9" i="1"/>
  <c r="AL10" i="1" s="1"/>
  <c r="R13" i="1"/>
  <c r="S13" i="1"/>
  <c r="T13" i="1"/>
  <c r="U13" i="1"/>
  <c r="V13" i="1"/>
  <c r="W13" i="1"/>
  <c r="X13" i="1"/>
  <c r="Y13" i="1"/>
  <c r="Z13" i="1"/>
  <c r="AA13" i="1"/>
  <c r="AB13" i="1"/>
  <c r="AC13" i="1"/>
  <c r="AD13" i="1"/>
  <c r="AE13" i="1"/>
  <c r="AF13" i="1"/>
  <c r="AM10" i="1" s="1"/>
  <c r="R20" i="1"/>
  <c r="S20" i="1"/>
  <c r="T20" i="1"/>
  <c r="U20" i="1"/>
  <c r="V20" i="1"/>
  <c r="W20" i="1"/>
  <c r="X20" i="1"/>
  <c r="Y20" i="1"/>
  <c r="Z20" i="1"/>
  <c r="AA20" i="1"/>
  <c r="AB20" i="1"/>
  <c r="AC20" i="1"/>
  <c r="AD20" i="1"/>
  <c r="AE20" i="1"/>
  <c r="AF20" i="1"/>
  <c r="AM4" i="1" s="1"/>
  <c r="R29" i="1"/>
  <c r="S29" i="1"/>
  <c r="T29" i="1"/>
  <c r="U29" i="1"/>
  <c r="V29" i="1"/>
  <c r="W29" i="1"/>
  <c r="X29" i="1"/>
  <c r="Y29" i="1"/>
  <c r="Z29" i="1"/>
  <c r="AA29" i="1"/>
  <c r="AB29" i="1"/>
  <c r="AC29" i="1"/>
  <c r="AD29" i="1"/>
  <c r="AE29" i="1"/>
  <c r="AF29" i="1"/>
  <c r="AN4" i="1" s="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AO10" i="1" s="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L16" i="1" l="1"/>
  <c r="AH115" i="1" s="1"/>
  <c r="AN100" i="1"/>
  <c r="AN92" i="1"/>
  <c r="Z105" i="1" s="1"/>
  <c r="AN89" i="1"/>
  <c r="AO19" i="1"/>
  <c r="AO22" i="1"/>
  <c r="B105" i="1"/>
  <c r="J105" i="1"/>
  <c r="S105" i="1"/>
  <c r="AA105" i="1"/>
  <c r="L105" i="1"/>
  <c r="T105" i="1"/>
  <c r="AB105" i="1"/>
  <c r="F105" i="1"/>
  <c r="N105" i="1"/>
  <c r="AD105" i="1"/>
  <c r="G105" i="1"/>
  <c r="O105" i="1"/>
  <c r="H105" i="1"/>
  <c r="I105" i="1"/>
  <c r="Y105" i="1"/>
  <c r="X105" i="1"/>
  <c r="D105" i="1"/>
  <c r="V105" i="1"/>
  <c r="Q105" i="1"/>
  <c r="AM19" i="1"/>
  <c r="AN22" i="1"/>
  <c r="AN19" i="1"/>
  <c r="AN16" i="1"/>
  <c r="AO16" i="1"/>
  <c r="AM16" i="1"/>
  <c r="AN107" i="1"/>
  <c r="AN104" i="1"/>
  <c r="AN103" i="1" s="1"/>
  <c r="AH113" i="1"/>
  <c r="AN93" i="1"/>
  <c r="AC105" i="1" l="1"/>
  <c r="U105" i="1"/>
  <c r="K105" i="1"/>
  <c r="AF105" i="1"/>
  <c r="AE105" i="1"/>
  <c r="C105" i="1"/>
  <c r="P105" i="1"/>
  <c r="W105" i="1"/>
  <c r="M105" i="1"/>
  <c r="R105" i="1"/>
  <c r="E105" i="1"/>
  <c r="AN101" i="1"/>
  <c r="AN95" i="1" l="1"/>
  <c r="AN98" i="1" s="1"/>
  <c r="AN106" i="1" s="1"/>
  <c r="AN109" i="1" l="1"/>
  <c r="AK108" i="1" s="1"/>
  <c r="AK109" i="1" s="1"/>
  <c r="AH111" i="1" s="1"/>
  <c r="AH114" i="1" s="1"/>
  <c r="AH116" i="1" s="1"/>
  <c r="AH119" i="1" l="1"/>
  <c r="A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<sst xmlns="http://schemas.openxmlformats.org/spreadsheetml/2006/main" count="919" uniqueCount="168">
  <si>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</si>
  <si>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</si>
  <si>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</si>
  <si>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</si>
  <si>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</si>
  <si>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</si>
  <si>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</si>
  <si>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</si>
  <si>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</si>
  <si>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</si>
  <si>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</si>
  <si>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</si>
  <si>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</si>
  <si>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</si>
  <si>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</si>
  <si>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</si>
  <si>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</si>
  <si>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</si>
  <si>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</si>
  <si>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</si>
  <si>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</si>
  <si>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</si>
  <si>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</si>
  <si>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</si>
  <si>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</si>
  <si>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</si>
  <si>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</si>
  <si>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</si>
  <si>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</si>
  <si>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</si>
  <si>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</si>
  <si>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</si>
  <si>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</si>
  <si>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</si>
  <si>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</si>
  <si>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</si>
  <si>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</si>
  <si>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</si>
  <si>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</si>
  <si>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</si>
  <si>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</si>
  <si>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</si>
  <si>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</si>
  <si>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</si>
  <si>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</si>
  <si>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</si>
  <si>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</si>
  <si>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</si>
  <si>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</si>
  <si>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</si>
  <si>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</si>
  <si>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</si>
  <si>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</si>
  <si>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</si>
  <si>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</si>
  <si>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</si>
  <si>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</si>
  <si>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</si>
  <si>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</si>
  <si>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</si>
  <si>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</si>
  <si>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</si>
  <si>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</si>
  <si>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</si>
  <si>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</si>
  <si>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</si>
  <si>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</si>
  <si>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</si>
  <si>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</si>
  <si>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</si>
  <si>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</si>
  <si>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</si>
  <si>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</si>
  <si>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</si>
  <si>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</si>
  <si>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</si>
  <si>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</si>
  <si>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</si>
  <si>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</si>
  <si>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</si>
  <si>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</si>
  <si>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</si>
  <si>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</si>
  <si>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</si>
  <si>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</si>
  <si>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</si>
  <si>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</si>
  <si>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</si>
  <si>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</si>
  <si>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</si>
  <si>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</si>
  <si>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</si>
  <si>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</si>
  <si>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</si>
  <si>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</si>
  <si>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</si>
  <si>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</si>
  <si>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</si>
  <si>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</si>
  <si>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</si>
  <si>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</si>
  <si>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</si>
  <si>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</si>
  <si>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</si>
  <si>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</si>
  <si>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</si>
  <si>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</si>
  <si>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</si>
  <si>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</si>
  <si>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</si>
  <si>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</si>
  <si>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</si>
  <si>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</si>
  <si>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</si>
  <si>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</si>
  <si>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</si>
  <si>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</si>
  <si>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</si>
  <si>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</si>
  <si>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</si>
  <si>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</si>
  <si>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</si>
  <si>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</si>
  <si>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</si>
  <si>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</si>
  <si>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</si>
  <si>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</si>
  <si>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</si>
  <si>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</si>
  <si>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</si>
  <si>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</si>
  <si>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</si>
  <si>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</si>
  <si>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</si>
  <si>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</si>
  <si>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</si>
  <si>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</si>
  <si>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</si>
  <si>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</si>
  <si>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</si>
  <si>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</si>
  <si>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</si>
  <si>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</si>
  <si>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</si>
  <si>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</si>
  <si>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</si>
  <si>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</si>
  <si>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</si>
  <si>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</si>
  <si>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</si>
  <si>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</si>
  <si>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</si>
  <si>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</si>
  <si>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</si>
  <si>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</si>
  <si>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</si>
  <si>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</si>
  <si>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</si>
  <si>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Unlevered FCF</t>
  </si>
  <si>
    <t>Levered FCF Growth YoY</t>
  </si>
  <si>
    <t>Levered FCF</t>
  </si>
  <si>
    <t>Unlevered FCF Forecast</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</si>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</sst>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0" fontId="12"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164" fontId="1" fillId="0" borderId="7" xfId="0" applyNumberFormat="1" applyFont="1" applyBorder="1" applyAlignment="1">
      <alignment horizontal="center"/>
    </xf>
    <xf numFmtId="168" fontId="11" fillId="0" borderId="7" xfId="0" applyNumberFormat="1" applyFont="1" applyBorder="1" applyAlignment="1">
      <alignment horizontal="center"/>
    </xf>
    <xf numFmtId="9" fontId="11" fillId="0" borderId="7" xfId="0" applyNumberFormat="1" applyFont="1" applyBorder="1" applyAlignment="1">
      <alignment horizontal="center"/>
    </xf>
    <xf numFmtId="2"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9" xfId="0" applyNumberFormat="1" applyFont="1" applyBorder="1"/>
    <xf numFmtId="9" fontId="11" fillId="0" borderId="0" xfId="0" applyNumberFormat="1" applyFont="1"/>
    <xf numFmtId="0" fontId="0" fillId="0" borderId="0" xfId="0" applyAlignment="1">
      <alignment vertical="center"/>
    </xf>
    <xf numFmtId="164" fontId="11" fillId="6" borderId="0" xfId="0" applyNumberFormat="1" applyFont="1" applyFill="1" applyAlignment="1">
      <alignment vertical="center"/>
    </xf>
    <xf numFmtId="37" fontId="11" fillId="6" borderId="0" xfId="0" applyNumberFormat="1" applyFont="1" applyFill="1" applyAlignment="1">
      <alignment vertical="center"/>
    </xf>
    <xf numFmtId="10" fontId="12" fillId="6" borderId="0" xfId="0" applyNumberFormat="1" applyFont="1" applyFill="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64" fontId="1" fillId="6" borderId="0" xfId="0" applyNumberFormat="1" applyFont="1" applyFill="1" applyAlignment="1">
      <alignment vertical="center"/>
    </xf>
    <xf numFmtId="164" fontId="12"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7" fillId="3" borderId="7" xfId="0" applyFont="1" applyFill="1" applyBorder="1" applyAlignment="1">
      <alignment horizontal="center" vertical="center" wrapText="1"/>
    </xf>
    <xf numFmtId="9" fontId="11" fillId="0" borderId="6" xfId="0" applyNumberFormat="1" applyFont="1" applyBorder="1" applyAlignment="1">
      <alignment horizontal="center"/>
    </xf>
    <xf numFmtId="10" fontId="11" fillId="0" borderId="6" xfId="0" applyNumberFormat="1" applyFont="1" applyBorder="1" applyAlignment="1">
      <alignment horizontal="center"/>
    </xf>
    <xf numFmtId="165" fontId="10"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 fillId="4" borderId="0" xfId="0" applyFont="1" applyFill="1" applyAlignment="1">
      <alignment horizontal="center" vertical="center"/>
    </xf>
    <xf numFmtId="0" fontId="12" fillId="5" borderId="0" xfId="0" applyFont="1" applyFill="1" applyAlignment="1">
      <alignment horizontal="center" vertical="center" wrapText="1"/>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5932427956276"/>
          <c:y val="0.14903648634956837"/>
          <c:w val="0.82464392182841995"/>
          <c:h val="0.5995385735534116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1'!$B$3:$AK$3</c:f>
              <c:numCache>
                <c:formatCode>#,###,,;\(#,###,,\);\ \-\ \-</c:formatCode>
                <c:ptCount val="36"/>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pt idx="31">
                  <c:v>66650000000</c:v>
                </c:pt>
                <c:pt idx="32">
                  <c:v>68501000000</c:v>
                </c:pt>
                <c:pt idx="33">
                  <c:v>71013000000</c:v>
                </c:pt>
                <c:pt idx="34">
                  <c:v>74522000000</c:v>
                </c:pt>
                <c:pt idx="35">
                  <c:v>77647000000</c:v>
                </c:pt>
              </c:numCache>
            </c:numRef>
          </c:val>
          <c:extLst>
            <c:ext xmlns:c16="http://schemas.microsoft.com/office/drawing/2014/chart" uri="{C3380CC4-5D6E-409C-BE32-E72D297353CC}">
              <c16:uniqueId val="{00000000-091D-994A-A62A-51167E4250C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1'!$B$28:$AK$28</c:f>
              <c:numCache>
                <c:formatCode>#,###,,;\(#,###,,\);\ \-\ \-</c:formatCode>
                <c:ptCount val="36"/>
                <c:pt idx="0">
                  <c:v>-361000000</c:v>
                </c:pt>
                <c:pt idx="1">
                  <c:v>829000000</c:v>
                </c:pt>
                <c:pt idx="2">
                  <c:v>1018000000</c:v>
                </c:pt>
                <c:pt idx="3">
                  <c:v>682000000</c:v>
                </c:pt>
                <c:pt idx="4">
                  <c:v>1347000000</c:v>
                </c:pt>
                <c:pt idx="5">
                  <c:v>1300000000</c:v>
                </c:pt>
                <c:pt idx="6">
                  <c:v>1001000000</c:v>
                </c:pt>
                <c:pt idx="7">
                  <c:v>382000000</c:v>
                </c:pt>
                <c:pt idx="8">
                  <c:v>-519000000</c:v>
                </c:pt>
                <c:pt idx="9">
                  <c:v>-1046000000</c:v>
                </c:pt>
                <c:pt idx="10">
                  <c:v>500000000</c:v>
                </c:pt>
                <c:pt idx="11">
                  <c:v>1053000000</c:v>
                </c:pt>
                <c:pt idx="12">
                  <c:v>1266000000</c:v>
                </c:pt>
                <c:pt idx="13">
                  <c:v>1825000000</c:v>
                </c:pt>
                <c:pt idx="14">
                  <c:v>2529000000</c:v>
                </c:pt>
                <c:pt idx="15">
                  <c:v>3033000000</c:v>
                </c:pt>
                <c:pt idx="16">
                  <c:v>3217000000</c:v>
                </c:pt>
                <c:pt idx="17">
                  <c:v>3024000000</c:v>
                </c:pt>
                <c:pt idx="18">
                  <c:v>2926000000</c:v>
                </c:pt>
                <c:pt idx="19">
                  <c:v>2655000000</c:v>
                </c:pt>
                <c:pt idx="20">
                  <c:v>2745000000</c:v>
                </c:pt>
                <c:pt idx="21">
                  <c:v>2981000000</c:v>
                </c:pt>
                <c:pt idx="22">
                  <c:v>3614000000</c:v>
                </c:pt>
                <c:pt idx="23">
                  <c:v>3605000000</c:v>
                </c:pt>
                <c:pt idx="24">
                  <c:v>5302000000</c:v>
                </c:pt>
                <c:pt idx="25">
                  <c:v>2002000000</c:v>
                </c:pt>
                <c:pt idx="26">
                  <c:v>5046000000</c:v>
                </c:pt>
                <c:pt idx="27">
                  <c:v>6230000000</c:v>
                </c:pt>
                <c:pt idx="28">
                  <c:v>6833000000</c:v>
                </c:pt>
                <c:pt idx="29">
                  <c:v>6315000000</c:v>
                </c:pt>
                <c:pt idx="30">
                  <c:v>5732000000</c:v>
                </c:pt>
                <c:pt idx="31">
                  <c:v>6847000001</c:v>
                </c:pt>
                <c:pt idx="32">
                  <c:v>6907000002</c:v>
                </c:pt>
                <c:pt idx="33">
                  <c:v>7117000003</c:v>
                </c:pt>
                <c:pt idx="34">
                  <c:v>6833000004</c:v>
                </c:pt>
                <c:pt idx="35">
                  <c:v>7066000005</c:v>
                </c:pt>
              </c:numCache>
            </c:numRef>
          </c:val>
          <c:extLst>
            <c:ext xmlns:c16="http://schemas.microsoft.com/office/drawing/2014/chart" uri="{C3380CC4-5D6E-409C-BE32-E72D297353CC}">
              <c16:uniqueId val="{00000001-091D-994A-A62A-51167E4250C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1'!$B$107:$AK$107</c:f>
              <c:numCache>
                <c:formatCode>#,###,,;\(#,###,,\);\ \-\ \-</c:formatCode>
                <c:ptCount val="36"/>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pt idx="31">
                  <c:v>6645000000</c:v>
                </c:pt>
                <c:pt idx="32">
                  <c:v>6912000000</c:v>
                </c:pt>
                <c:pt idx="33">
                  <c:v>7165000000</c:v>
                </c:pt>
                <c:pt idx="34">
                  <c:v>7347000000</c:v>
                </c:pt>
                <c:pt idx="35">
                  <c:v>7600000000</c:v>
                </c:pt>
              </c:numCache>
            </c:numRef>
          </c:val>
          <c:extLst>
            <c:ext xmlns:c16="http://schemas.microsoft.com/office/drawing/2014/chart" uri="{C3380CC4-5D6E-409C-BE32-E72D297353CC}">
              <c16:uniqueId val="{00000002-091D-994A-A62A-51167E4250CF}"/>
            </c:ext>
          </c:extLst>
        </c:ser>
        <c:dLbls>
          <c:showLegendKey val="0"/>
          <c:showVal val="0"/>
          <c:showCatName val="0"/>
          <c:showSerName val="0"/>
          <c:showPercent val="0"/>
          <c:showBubbleSize val="0"/>
        </c:dLbls>
        <c:gapWidth val="150"/>
        <c:overlap val="100"/>
        <c:axId val="1524068816"/>
        <c:axId val="1524071088"/>
      </c:barChart>
      <c:catAx>
        <c:axId val="1524068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71088"/>
        <c:crosses val="autoZero"/>
        <c:auto val="1"/>
        <c:lblAlgn val="ctr"/>
        <c:lblOffset val="100"/>
        <c:noMultiLvlLbl val="0"/>
      </c:catAx>
      <c:valAx>
        <c:axId val="1524071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68816"/>
        <c:crosses val="autoZero"/>
        <c:crossBetween val="between"/>
      </c:valAx>
      <c:spPr>
        <a:noFill/>
        <a:ln>
          <a:noFill/>
        </a:ln>
        <a:effectLst/>
      </c:spPr>
    </c:plotArea>
    <c:legend>
      <c:legendPos val="b"/>
      <c:layout>
        <c:manualLayout>
          <c:xMode val="edge"/>
          <c:yMode val="edge"/>
          <c:x val="0.34279797502953741"/>
          <c:y val="0.88791245036497946"/>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109</xdr:row>
      <xdr:rowOff>33338</xdr:rowOff>
    </xdr:from>
    <xdr:to>
      <xdr:col>40</xdr:col>
      <xdr:colOff>15874</xdr:colOff>
      <xdr:row>127</xdr:row>
      <xdr:rowOff>15875</xdr:rowOff>
    </xdr:to>
    <xdr:graphicFrame macro="">
      <xdr:nvGraphicFramePr>
        <xdr:cNvPr id="3" name="Chart 2">
          <a:extLst>
            <a:ext uri="{FF2B5EF4-FFF2-40B4-BE49-F238E27FC236}">
              <a16:creationId xmlns:a16="http://schemas.microsoft.com/office/drawing/2014/main" id="{91D5A9DA-6A49-D5B0-CF6A-DC89FC141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393.77</v>
    <v>0.62090000000000001</v>
    <v>3.11</v>
    <v>6.9720000000000008E-3</v>
    <v>0</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449.67</v>
    <v>Aerospace &amp; Defense</v>
    <v>Stock</v>
    <v>45218.999850856249</v>
    <v>0</v>
    <v>442.19150000000002</v>
    <v>111440974066</v>
    <v>LOCKHEED MARTIN CORPORATION</v>
    <v>LOCKHEED MARTIN CORPORATION</v>
    <v>443.66</v>
    <v>16.289400000000001</v>
    <v>446.07</v>
    <v>449.18</v>
    <v>449.18</v>
    <v>248098700</v>
    <v>LMT</v>
    <v>LOCKHEED MARTIN CORPORATION (XNYS:LMT)</v>
    <v>2012401</v>
    <v>1507157</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hyperlink" Target="https://finbox.com/NYSE:LMT/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9"/>
  <sheetViews>
    <sheetView tabSelected="1" zoomScale="80" zoomScaleNormal="80" workbookViewId="0">
      <pane xSplit="1" ySplit="1" topLeftCell="AC94" activePane="bottomRight" state="frozen"/>
      <selection pane="topRight"/>
      <selection pane="bottomLeft"/>
      <selection pane="bottomRight" activeCell="AF109" sqref="AF109"/>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66650000000</v>
      </c>
      <c r="AH3" s="19">
        <v>68501000000</v>
      </c>
      <c r="AI3" s="19">
        <v>71013000000</v>
      </c>
      <c r="AJ3" s="19">
        <v>74522000000</v>
      </c>
      <c r="AK3" s="19">
        <v>77647000000</v>
      </c>
      <c r="AL3" s="28" t="s">
        <v>107</v>
      </c>
      <c r="AM3" s="28" t="s">
        <v>108</v>
      </c>
      <c r="AN3" s="28" t="s">
        <v>109</v>
      </c>
      <c r="AO3" s="28" t="s">
        <v>110</v>
      </c>
    </row>
    <row r="4" spans="1:41" ht="19" x14ac:dyDescent="0.25">
      <c r="A4" s="14" t="s">
        <v>93</v>
      </c>
      <c r="B4" s="1"/>
      <c r="C4" s="38">
        <f>(C3/B3)-1</f>
        <v>0.39719276356830946</v>
      </c>
      <c r="D4" s="38">
        <f>(D3/C3)-1</f>
        <v>2.2726257980979492E-2</v>
      </c>
      <c r="E4" s="38">
        <f>(E3/D3)-1</f>
        <v>-2.3138042434296402E-3</v>
      </c>
      <c r="F4" s="38">
        <f t="shared" ref="F4:V4" si="0">(F3/E3)-1</f>
        <v>0.17599439898481606</v>
      </c>
      <c r="G4" s="38">
        <f t="shared" si="0"/>
        <v>4.4427906976744147E-2</v>
      </c>
      <c r="H4" s="38">
        <f t="shared" si="0"/>
        <v>-6.4234564822401974E-2</v>
      </c>
      <c r="I4" s="38">
        <f t="shared" si="0"/>
        <v>-2.8021015761821366E-2</v>
      </c>
      <c r="J4" s="38">
        <f t="shared" si="0"/>
        <v>-7.8730904817860825E-3</v>
      </c>
      <c r="K4" s="38">
        <f t="shared" si="0"/>
        <v>-5.2864305736507577E-2</v>
      </c>
      <c r="L4" s="38">
        <f t="shared" si="0"/>
        <v>0.10787828261775734</v>
      </c>
      <c r="M4" s="38">
        <f t="shared" si="0"/>
        <v>0.19738129279855521</v>
      </c>
      <c r="N4" s="38">
        <f t="shared" si="0"/>
        <v>0.11632730015082959</v>
      </c>
      <c r="O4" s="38">
        <f t="shared" si="0"/>
        <v>4.7486348026797298E-2</v>
      </c>
      <c r="P4" s="38">
        <f t="shared" si="0"/>
        <v>6.4681697256335102E-2</v>
      </c>
      <c r="Q4" s="38">
        <f t="shared" si="0"/>
        <v>5.658758202927805E-2</v>
      </c>
      <c r="R4" s="38">
        <f t="shared" si="0"/>
        <v>2.075868329272379E-2</v>
      </c>
      <c r="S4" s="38">
        <f t="shared" si="0"/>
        <v>5.7522641641899241E-2</v>
      </c>
      <c r="T4" s="38">
        <f t="shared" si="0"/>
        <v>1.3587377459116201E-2</v>
      </c>
      <c r="U4" s="38">
        <f t="shared" si="0"/>
        <v>1.5195511211056001E-2</v>
      </c>
      <c r="V4" s="38">
        <f t="shared" si="0"/>
        <v>1.4688487924471527E-2</v>
      </c>
      <c r="W4" s="38">
        <f t="shared" ref="W4" si="1">(W3/V3)-1</f>
        <v>-3.865881056335041E-2</v>
      </c>
      <c r="X4" s="38">
        <f t="shared" ref="X4" si="2">(X3/W3)-1</f>
        <v>5.3353322456899388E-3</v>
      </c>
      <c r="Y4" s="38">
        <f t="shared" ref="Y4" si="3">(Y3/X3)-1</f>
        <v>1.1666666666666714E-2</v>
      </c>
      <c r="Z4" s="38">
        <f t="shared" ref="Z4" si="4">(Z3/Y3)-1</f>
        <v>2.4191450619960086E-2</v>
      </c>
      <c r="AA4" s="38">
        <f t="shared" ref="AA4" si="5">(AA3/Z3)-1</f>
        <v>8.0426684727395781E-2</v>
      </c>
      <c r="AB4" s="38">
        <f t="shared" ref="AB4" si="6">(AB3/AA3)-1</f>
        <v>5.3165648017552192E-2</v>
      </c>
      <c r="AC4" s="38">
        <f t="shared" ref="AC4" si="7">(AC3/AB3)-1</f>
        <v>0.11253301588482567</v>
      </c>
      <c r="AD4" s="38">
        <f t="shared" ref="AD4" si="8">(AD3/AC3)-1</f>
        <v>9.3392630241423191E-2</v>
      </c>
      <c r="AE4" s="38">
        <f t="shared" ref="AE4" si="9">(AE3/AD3)-1</f>
        <v>2.516896541178637E-2</v>
      </c>
      <c r="AF4" s="38">
        <f t="shared" ref="AF4:AK4" si="10">(AF3/AE3)-1</f>
        <v>-1.5810512499254248E-2</v>
      </c>
      <c r="AG4" s="16">
        <f t="shared" si="10"/>
        <v>1.0093355965082429E-2</v>
      </c>
      <c r="AH4" s="16">
        <f t="shared" si="10"/>
        <v>2.7771942985746367E-2</v>
      </c>
      <c r="AI4" s="16">
        <f t="shared" si="10"/>
        <v>3.6670997503686076E-2</v>
      </c>
      <c r="AJ4" s="16">
        <f t="shared" si="10"/>
        <v>4.9413487671271517E-2</v>
      </c>
      <c r="AK4" s="16">
        <f t="shared" si="10"/>
        <v>4.1933925552186002E-2</v>
      </c>
      <c r="AL4" s="31">
        <f>(AF4+AE4+AD4)/3</f>
        <v>3.4250361051318436E-2</v>
      </c>
      <c r="AM4" s="31">
        <f>(AF20+AE20+AD20)/3</f>
        <v>-1.0535508636902891E-2</v>
      </c>
      <c r="AN4" s="31">
        <f>(AF29+AE29+AD29)/3</f>
        <v>-2.3779574072930448E-2</v>
      </c>
      <c r="AO4" s="31">
        <f>(AF106+AE106+AD106)/3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G6" s="36">
        <f>AG3*AG7</f>
        <v>8344580000</v>
      </c>
      <c r="AL6" s="28" t="s">
        <v>111</v>
      </c>
      <c r="AM6" s="28" t="s">
        <v>112</v>
      </c>
      <c r="AN6" s="28" t="s">
        <v>113</v>
      </c>
      <c r="AO6" s="28" t="s">
        <v>114</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G7" s="2">
        <v>0.12520000000000001</v>
      </c>
      <c r="AL7" s="31">
        <f>AG7</f>
        <v>0.12520000000000001</v>
      </c>
      <c r="AM7" s="31">
        <f>AG21</f>
        <v>0.14834208553638409</v>
      </c>
      <c r="AN7" s="31">
        <f>AG30</f>
        <v>0.10273068268567141</v>
      </c>
      <c r="AO7" s="31">
        <f>AG107/AG3</f>
        <v>9.9699924981245316E-2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94</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28" t="s">
        <v>95</v>
      </c>
      <c r="AM9" s="28" t="s">
        <v>96</v>
      </c>
      <c r="AN9" s="28" t="s">
        <v>97</v>
      </c>
      <c r="AO9" s="28"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31">
        <f>AF9</f>
        <v>0</v>
      </c>
      <c r="AM10" s="31">
        <f>AF13</f>
        <v>0</v>
      </c>
      <c r="AN10" s="31">
        <f>AF80</f>
        <v>3.6069350145489817E-3</v>
      </c>
      <c r="AO10" s="31">
        <f>AF89</f>
        <v>2.7112633365664402E-2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28" t="s">
        <v>115</v>
      </c>
      <c r="AM12" s="28" t="s">
        <v>116</v>
      </c>
      <c r="AN12" s="28" t="s">
        <v>117</v>
      </c>
      <c r="AO12" s="28" t="s">
        <v>118</v>
      </c>
    </row>
    <row r="13" spans="1:41" ht="19" x14ac:dyDescent="0.25">
      <c r="A13" s="14" t="s">
        <v>99</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31">
        <f>AF28/AF72</f>
        <v>0.6186056550830995</v>
      </c>
      <c r="AM13" s="31">
        <f>AF28/AF54</f>
        <v>0.1083963691376702</v>
      </c>
      <c r="AN13" s="31">
        <f>AF22/(AF72+AF56+AF61)</f>
        <v>0.33804413848957277</v>
      </c>
      <c r="AO13" s="32">
        <f>AF67/AF72</f>
        <v>4.7068853874379455</v>
      </c>
    </row>
    <row r="14" spans="1:41" ht="19" x14ac:dyDescent="0.25">
      <c r="A14" s="5" t="s">
        <v>9</v>
      </c>
      <c r="B14" s="1" t="s">
        <v>91</v>
      </c>
      <c r="C14" s="1" t="s">
        <v>91</v>
      </c>
      <c r="D14" s="1" t="s">
        <v>91</v>
      </c>
      <c r="E14" s="1" t="s">
        <v>91</v>
      </c>
      <c r="F14" s="1" t="s">
        <v>91</v>
      </c>
      <c r="G14" s="1" t="s">
        <v>91</v>
      </c>
      <c r="H14" s="1" t="s">
        <v>91</v>
      </c>
      <c r="I14" s="1" t="s">
        <v>91</v>
      </c>
      <c r="J14" s="1">
        <v>968000000</v>
      </c>
      <c r="K14" s="1" t="s">
        <v>91</v>
      </c>
      <c r="L14" s="1" t="s">
        <v>91</v>
      </c>
      <c r="M14" s="1" t="s">
        <v>91</v>
      </c>
      <c r="N14" s="1" t="s">
        <v>91</v>
      </c>
      <c r="O14" s="1" t="s">
        <v>91</v>
      </c>
      <c r="P14" s="1" t="s">
        <v>91</v>
      </c>
      <c r="Q14" s="1" t="s">
        <v>91</v>
      </c>
      <c r="R14" s="1" t="s">
        <v>91</v>
      </c>
      <c r="S14" s="1" t="s">
        <v>91</v>
      </c>
      <c r="T14" s="1" t="s">
        <v>91</v>
      </c>
      <c r="U14" s="1" t="s">
        <v>91</v>
      </c>
      <c r="V14" s="1">
        <v>-238000000</v>
      </c>
      <c r="W14" s="1">
        <v>-318000000</v>
      </c>
      <c r="X14" s="1">
        <v>-337000000</v>
      </c>
      <c r="Y14" s="1">
        <v>-236000000</v>
      </c>
      <c r="Z14" s="1">
        <v>-487000000</v>
      </c>
      <c r="AA14" s="1">
        <v>-373000000</v>
      </c>
      <c r="AB14" s="1">
        <v>-60000000</v>
      </c>
      <c r="AC14" s="1">
        <v>-178000000</v>
      </c>
      <c r="AD14" s="1">
        <v>10000000</v>
      </c>
      <c r="AE14" s="1">
        <v>-62000000</v>
      </c>
      <c r="AF14" s="1" t="s">
        <v>91</v>
      </c>
    </row>
    <row r="15" spans="1:41" ht="20" x14ac:dyDescent="0.25">
      <c r="A15" s="5" t="s">
        <v>10</v>
      </c>
      <c r="B15" s="1" t="s">
        <v>91</v>
      </c>
      <c r="C15" s="1" t="s">
        <v>91</v>
      </c>
      <c r="D15" s="1" t="s">
        <v>91</v>
      </c>
      <c r="E15" s="1" t="s">
        <v>91</v>
      </c>
      <c r="F15" s="1" t="s">
        <v>91</v>
      </c>
      <c r="G15" s="1" t="s">
        <v>91</v>
      </c>
      <c r="H15" s="1" t="s">
        <v>91</v>
      </c>
      <c r="I15" s="1" t="s">
        <v>91</v>
      </c>
      <c r="J15" s="1">
        <v>968000000</v>
      </c>
      <c r="K15" s="1" t="s">
        <v>91</v>
      </c>
      <c r="L15" s="1" t="s">
        <v>91</v>
      </c>
      <c r="M15" s="1" t="s">
        <v>91</v>
      </c>
      <c r="N15" s="1" t="s">
        <v>91</v>
      </c>
      <c r="O15" s="1" t="s">
        <v>91</v>
      </c>
      <c r="P15" s="1" t="s">
        <v>91</v>
      </c>
      <c r="Q15" s="1" t="s">
        <v>91</v>
      </c>
      <c r="R15" s="1" t="s">
        <v>91</v>
      </c>
      <c r="S15" s="1" t="s">
        <v>91</v>
      </c>
      <c r="T15" s="1" t="s">
        <v>91</v>
      </c>
      <c r="U15" s="1" t="s">
        <v>91</v>
      </c>
      <c r="V15" s="1">
        <v>-238000000</v>
      </c>
      <c r="W15" s="1">
        <v>-318000000</v>
      </c>
      <c r="X15" s="1">
        <v>-337000000</v>
      </c>
      <c r="Y15" s="1">
        <v>-236000000</v>
      </c>
      <c r="Z15" s="1">
        <v>-487000000</v>
      </c>
      <c r="AA15" s="1">
        <v>-373000000</v>
      </c>
      <c r="AB15" s="1">
        <v>-60000000</v>
      </c>
      <c r="AC15" s="1">
        <v>-178000000</v>
      </c>
      <c r="AD15" s="1">
        <v>10000000</v>
      </c>
      <c r="AE15" s="1">
        <v>-62000000</v>
      </c>
      <c r="AF15" s="1">
        <v>-74000000</v>
      </c>
      <c r="AL15" s="28" t="s">
        <v>119</v>
      </c>
      <c r="AM15" s="28" t="s">
        <v>120</v>
      </c>
      <c r="AN15" s="28" t="s">
        <v>121</v>
      </c>
      <c r="AO15" s="28" t="s">
        <v>122</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31">
        <f>(AF35+AE35+AD35+AC35+AB35)/5</f>
        <v>-9.2423078964431332E-3</v>
      </c>
      <c r="AM16" s="30">
        <f>AN102/AF3</f>
        <v>1.6889090395550437</v>
      </c>
      <c r="AN16" s="30">
        <f>AN102/AF28</f>
        <v>19.44190056978367</v>
      </c>
      <c r="AO16" s="30">
        <f>AN102/AF107</f>
        <v>18.173674831376385</v>
      </c>
    </row>
    <row r="17" spans="1:41" ht="19" x14ac:dyDescent="0.25">
      <c r="A17" s="5" t="s">
        <v>12</v>
      </c>
      <c r="B17" s="1">
        <v>177000000</v>
      </c>
      <c r="C17" s="1">
        <v>278000000</v>
      </c>
      <c r="D17" s="1">
        <v>304000000</v>
      </c>
      <c r="E17" s="1">
        <v>288000000</v>
      </c>
      <c r="F17" s="1">
        <v>700000000</v>
      </c>
      <c r="G17" s="1">
        <v>842000000</v>
      </c>
      <c r="H17" s="1">
        <v>861000000</v>
      </c>
      <c r="I17" s="1">
        <v>809000000</v>
      </c>
      <c r="J17" s="1" t="s">
        <v>91</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1"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28" t="s">
        <v>156</v>
      </c>
      <c r="AM18" s="28" t="s">
        <v>157</v>
      </c>
      <c r="AN18" s="28" t="s">
        <v>162</v>
      </c>
      <c r="AO18" s="28" t="s">
        <v>163</v>
      </c>
    </row>
    <row r="19" spans="1:41"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G19" s="36">
        <v>9887000001</v>
      </c>
      <c r="AH19" s="36">
        <v>10139000002</v>
      </c>
      <c r="AI19" s="36">
        <v>10479000003</v>
      </c>
      <c r="AJ19" s="36">
        <v>10714000004</v>
      </c>
      <c r="AK19" s="36">
        <v>11000000005</v>
      </c>
      <c r="AL19" s="29">
        <f>AF40-AF56-AF61</f>
        <v>-12882000000</v>
      </c>
      <c r="AM19" s="30">
        <f>AN102/AG3</f>
        <v>1.6720326191447863</v>
      </c>
      <c r="AN19" s="30">
        <f>AN102/AG28</f>
        <v>16.275883459869156</v>
      </c>
      <c r="AO19" s="30">
        <f>AN102/AG107</f>
        <v>16.770650724755455</v>
      </c>
    </row>
    <row r="20" spans="1:41" ht="19" customHeight="1" x14ac:dyDescent="0.25">
      <c r="A20" s="14" t="s">
        <v>100</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c r="AG20" s="16">
        <f t="shared" ref="AG20" si="29">(AG19/AF19)-1</f>
        <v>0.13552314241414964</v>
      </c>
      <c r="AH20" s="16">
        <f t="shared" ref="AH20" si="30">(AH19/AG19)-1</f>
        <v>2.5488014663144654E-2</v>
      </c>
      <c r="AI20" s="16">
        <f t="shared" ref="AI20" si="31">(AI19/AH19)-1</f>
        <v>3.3533879172791492E-2</v>
      </c>
      <c r="AJ20" s="16">
        <f t="shared" ref="AJ20" si="32">(AJ19/AI19)-1</f>
        <v>2.2425804077939038E-2</v>
      </c>
      <c r="AK20" s="16">
        <f t="shared" ref="AK20" si="33">(AK19/AJ19)-1</f>
        <v>2.6694045257907861E-2</v>
      </c>
    </row>
    <row r="21" spans="1:41" ht="20"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G21" s="37">
        <f>AG19/AG3</f>
        <v>0.14834208553638409</v>
      </c>
      <c r="AH21" s="37">
        <f t="shared" ref="AH21:AK21" si="34">AH19/AH3</f>
        <v>0.14801243780382767</v>
      </c>
      <c r="AI21" s="37">
        <f t="shared" si="34"/>
        <v>0.14756453048033458</v>
      </c>
      <c r="AJ21" s="37">
        <f t="shared" si="34"/>
        <v>0.14376962513083386</v>
      </c>
      <c r="AK21" s="37">
        <f t="shared" si="34"/>
        <v>0.14166677405437428</v>
      </c>
      <c r="AM21" s="63" t="s">
        <v>166</v>
      </c>
      <c r="AN21" s="28" t="s">
        <v>164</v>
      </c>
      <c r="AO21" s="27" t="s">
        <v>167</v>
      </c>
    </row>
    <row r="22" spans="1:41"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c r="AM22" s="64">
        <f>SUM(AG29:AK29)/5</f>
        <v>4.557673054772822E-2</v>
      </c>
      <c r="AN22" s="65">
        <f>(-1*AF98)/AN102</f>
        <v>2.7063654327122075E-2</v>
      </c>
      <c r="AO22" s="33">
        <f>AG107/AN102</f>
        <v>5.9627978449511336E-2</v>
      </c>
    </row>
    <row r="23" spans="1:41"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1"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1"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1"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1"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1" ht="20" thickBot="1" x14ac:dyDescent="0.3">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c r="AG28" s="34">
        <v>6847000001</v>
      </c>
      <c r="AH28" s="34">
        <v>6907000002</v>
      </c>
      <c r="AI28" s="34">
        <v>7117000003</v>
      </c>
      <c r="AJ28" s="34">
        <v>6833000004</v>
      </c>
      <c r="AK28" s="34">
        <v>7066000005</v>
      </c>
    </row>
    <row r="29" spans="1:41" ht="20" customHeight="1" thickTop="1" x14ac:dyDescent="0.25">
      <c r="A29" s="14" t="s">
        <v>101</v>
      </c>
      <c r="B29" s="1"/>
      <c r="C29" s="15">
        <f>(C28/B28)-1</f>
        <v>-3.2963988919667591</v>
      </c>
      <c r="D29" s="15">
        <f>(D28/C28)-1</f>
        <v>0.22798552472858868</v>
      </c>
      <c r="E29" s="15">
        <f>(E28/D28)-1</f>
        <v>-0.33005893909626716</v>
      </c>
      <c r="F29" s="15">
        <f t="shared" ref="F29:Q29" si="35">(F28/E28)-1</f>
        <v>0.97507331378299122</v>
      </c>
      <c r="G29" s="15">
        <f t="shared" si="35"/>
        <v>-3.4892353377876772E-2</v>
      </c>
      <c r="H29" s="15">
        <f t="shared" si="35"/>
        <v>-0.22999999999999998</v>
      </c>
      <c r="I29" s="15">
        <f t="shared" si="35"/>
        <v>-0.61838161838161843</v>
      </c>
      <c r="J29" s="15">
        <f t="shared" si="35"/>
        <v>-2.3586387434554972</v>
      </c>
      <c r="K29" s="15">
        <f t="shared" si="35"/>
        <v>1.0154142581888248</v>
      </c>
      <c r="L29" s="15">
        <f t="shared" si="35"/>
        <v>-1.4780114722753346</v>
      </c>
      <c r="M29" s="15">
        <f t="shared" si="35"/>
        <v>1.1059999999999999</v>
      </c>
      <c r="N29" s="15">
        <f t="shared" si="35"/>
        <v>0.20227920227920237</v>
      </c>
      <c r="O29" s="15">
        <f t="shared" si="35"/>
        <v>0.44154818325434442</v>
      </c>
      <c r="P29" s="15">
        <f t="shared" si="35"/>
        <v>0.38575342465753426</v>
      </c>
      <c r="Q29" s="15">
        <f t="shared" si="35"/>
        <v>0.19928825622775803</v>
      </c>
      <c r="R29" s="15">
        <f t="shared" ref="R29" si="36">(R28/Q28)-1</f>
        <v>6.0666007253544318E-2</v>
      </c>
      <c r="S29" s="15">
        <f t="shared" ref="S29" si="37">(S28/R28)-1</f>
        <v>-5.9993783027665559E-2</v>
      </c>
      <c r="T29" s="15">
        <f t="shared" ref="T29" si="38">(T28/S28)-1</f>
        <v>-3.240740740740744E-2</v>
      </c>
      <c r="U29" s="15">
        <f t="shared" ref="U29" si="39">(U28/T28)-1</f>
        <v>-9.2617908407382044E-2</v>
      </c>
      <c r="V29" s="15">
        <f t="shared" ref="V29" si="40">(V28/U28)-1</f>
        <v>3.3898305084745672E-2</v>
      </c>
      <c r="W29" s="15">
        <f t="shared" ref="W29" si="41">(W28/V28)-1</f>
        <v>8.5974499089253253E-2</v>
      </c>
      <c r="X29" s="15">
        <f t="shared" ref="X29" si="42">(X28/W28)-1</f>
        <v>0.21234485072123443</v>
      </c>
      <c r="Y29" s="15">
        <f t="shared" ref="Y29" si="43">(Y28/X28)-1</f>
        <v>-2.4903154399557037E-3</v>
      </c>
      <c r="Z29" s="15">
        <f t="shared" ref="Z29" si="44">(Z28/Y28)-1</f>
        <v>0.47073509015256598</v>
      </c>
      <c r="AA29" s="15">
        <f t="shared" ref="AA29" si="45">(AA28/Z28)-1</f>
        <v>-0.62240663900414939</v>
      </c>
      <c r="AB29" s="15">
        <f t="shared" ref="AB29" si="46">(AB28/AA28)-1</f>
        <v>1.5204795204795203</v>
      </c>
      <c r="AC29" s="15">
        <f t="shared" ref="AC29" si="47">(AC28/AB28)-1</f>
        <v>0.23464130003963546</v>
      </c>
      <c r="AD29" s="15">
        <f t="shared" ref="AD29" si="48">(AD28/AC28)-1</f>
        <v>9.6789727126805669E-2</v>
      </c>
      <c r="AE29" s="15">
        <f t="shared" ref="AE29" si="49">(AE28/AD28)-1</f>
        <v>-7.5808576028098984E-2</v>
      </c>
      <c r="AF29" s="15">
        <f t="shared" ref="AF29" si="50">(AF28/AE28)-1</f>
        <v>-9.2319873317498025E-2</v>
      </c>
      <c r="AG29" s="16">
        <f t="shared" ref="AG29" si="51">(AG28/AF28)-1</f>
        <v>0.19452198203070492</v>
      </c>
      <c r="AH29" s="16">
        <f t="shared" ref="AH29" si="52">(AH28/AG28)-1</f>
        <v>8.7629620258853347E-3</v>
      </c>
      <c r="AI29" s="16">
        <f t="shared" ref="AI29" si="53">(AI28/AH28)-1</f>
        <v>3.0403938169855538E-2</v>
      </c>
      <c r="AJ29" s="16">
        <f t="shared" ref="AJ29" si="54">(AJ28/AI28)-1</f>
        <v>-3.9904453966599251E-2</v>
      </c>
      <c r="AK29" s="16">
        <f t="shared" ref="AK29" si="55">(AK28/AJ28)-1</f>
        <v>3.4099224478794543E-2</v>
      </c>
    </row>
    <row r="30" spans="1:41"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c r="AG30" s="35">
        <f>AG28/AG3</f>
        <v>0.10273068268567141</v>
      </c>
      <c r="AH30" s="35">
        <f t="shared" ref="AH30:AK30" si="56">AH28/AH3</f>
        <v>0.10083064483730164</v>
      </c>
      <c r="AI30" s="35">
        <f t="shared" si="56"/>
        <v>0.10022108632222269</v>
      </c>
      <c r="AJ30" s="35">
        <f t="shared" si="56"/>
        <v>9.1691044309063094E-2</v>
      </c>
      <c r="AK30" s="35">
        <f t="shared" si="56"/>
        <v>9.1001584156503154E-2</v>
      </c>
    </row>
    <row r="31" spans="1:41"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c r="AG31" s="20">
        <v>27.19</v>
      </c>
      <c r="AH31" s="20">
        <v>27.43</v>
      </c>
      <c r="AI31" s="20">
        <v>28.26</v>
      </c>
      <c r="AJ31" s="20">
        <v>27.13</v>
      </c>
      <c r="AK31" s="20">
        <v>28.06</v>
      </c>
    </row>
    <row r="32" spans="1:41"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0"/>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102</v>
      </c>
      <c r="B35" s="1"/>
      <c r="C35" s="17">
        <f>(C34-B34)/B34</f>
        <v>0.12748597654258031</v>
      </c>
      <c r="D35" s="17">
        <f t="shared" ref="D35:Q35" si="57">(D34-C34)/C34</f>
        <v>-1.2663952962460425E-2</v>
      </c>
      <c r="E35" s="17">
        <f t="shared" si="57"/>
        <v>2.2446174988547871E-2</v>
      </c>
      <c r="F35" s="17">
        <f t="shared" si="57"/>
        <v>-8.960573476702509E-4</v>
      </c>
      <c r="G35" s="17">
        <f t="shared" si="57"/>
        <v>-4.2600896860986545E-2</v>
      </c>
      <c r="H35" s="17">
        <f t="shared" si="57"/>
        <v>-0.10749414519906324</v>
      </c>
      <c r="I35" s="17">
        <f t="shared" si="57"/>
        <v>7.8719496195224347E-3</v>
      </c>
      <c r="J35" s="17">
        <f t="shared" si="57"/>
        <v>4.7450093725592293E-2</v>
      </c>
      <c r="K35" s="17">
        <f t="shared" si="57"/>
        <v>7.5000001056358387E-2</v>
      </c>
      <c r="L35" s="17">
        <f t="shared" si="57"/>
        <v>4.5086705202312137E-2</v>
      </c>
      <c r="M35" s="17">
        <f t="shared" si="57"/>
        <v>-4.4247787610619468E-3</v>
      </c>
      <c r="N35" s="17">
        <f t="shared" si="57"/>
        <v>-6.4444444444444445E-3</v>
      </c>
      <c r="O35" s="17">
        <f t="shared" si="57"/>
        <v>-3.1312905390293E-3</v>
      </c>
      <c r="P35" s="17">
        <f t="shared" si="57"/>
        <v>-2.0866053399147409E-2</v>
      </c>
      <c r="Q35" s="17">
        <f t="shared" si="57"/>
        <v>-2.1310724106324473E-2</v>
      </c>
      <c r="R35" s="17">
        <f t="shared" ref="R35" si="58">(R34-Q34)/Q34</f>
        <v>-4.0739873565909621E-2</v>
      </c>
      <c r="S35" s="17">
        <f t="shared" ref="S35" si="59">(S34-R34)/R34</f>
        <v>-5.0768855259946302E-2</v>
      </c>
      <c r="T35" s="17">
        <f t="shared" ref="T35" si="60">(T34-S34)/S34</f>
        <v>-5.2969915145281564E-2</v>
      </c>
      <c r="U35" s="17">
        <f t="shared" ref="U35" si="61">(U34-T34)/T34</f>
        <v>-7.7111050773825685E-2</v>
      </c>
      <c r="V35" s="17">
        <f t="shared" ref="V35" si="62">(V34-U34)/U34</f>
        <v>-3.3833480435422184E-2</v>
      </c>
      <c r="W35" s="17">
        <f t="shared" ref="W35" si="63">(W34-V34)/V34</f>
        <v>-5.7856272838002435E-3</v>
      </c>
      <c r="X35" s="17">
        <f t="shared" ref="X35" si="64">(X34-W34)/W34</f>
        <v>-1.2557427258805513E-2</v>
      </c>
      <c r="Y35" s="17">
        <f t="shared" ref="Y35" si="65">(Y34-X34)/X34</f>
        <v>-2.3883374689826303E-2</v>
      </c>
      <c r="Z35" s="17">
        <f t="shared" ref="Z35" si="66">(Z34-Y34)/Y34</f>
        <v>-3.6860502065459169E-2</v>
      </c>
      <c r="AA35" s="17">
        <f t="shared" ref="AA35" si="67">(AA34-Z34)/Z34</f>
        <v>-4.1240514681623229E-2</v>
      </c>
      <c r="AB35" s="17">
        <f t="shared" ref="AB35" si="68">(AB34-AA34)/AA34</f>
        <v>-1.307639366827254E-2</v>
      </c>
      <c r="AC35" s="17">
        <f t="shared" ref="AC35" si="69">(AC34-AB34)/AB34</f>
        <v>-1.0460251046025104E-2</v>
      </c>
      <c r="AD35" s="17">
        <f t="shared" ref="AD35" si="70">(AD34-AC34)/AC34</f>
        <v>-9.161381254404511E-3</v>
      </c>
      <c r="AE35" s="17">
        <f t="shared" ref="AE35" si="71">(AE34-AD34)/AD34</f>
        <v>-1.3513513513513514E-2</v>
      </c>
      <c r="AF35" s="17">
        <f t="shared" ref="AF35" si="72">(AF34-AE34)/AE34</f>
        <v>0</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v>653000000</v>
      </c>
      <c r="F38" s="1" t="s">
        <v>91</v>
      </c>
      <c r="G38" s="1" t="s">
        <v>91</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v>240000000</v>
      </c>
      <c r="N39" s="1">
        <v>396000000</v>
      </c>
      <c r="O39" s="1">
        <v>429000000</v>
      </c>
      <c r="P39" s="1">
        <v>381000000</v>
      </c>
      <c r="Q39" s="1">
        <v>333000000</v>
      </c>
      <c r="R39" s="1">
        <v>61000000</v>
      </c>
      <c r="S39" s="1" t="s">
        <v>91</v>
      </c>
      <c r="T39" s="1">
        <v>516000000</v>
      </c>
      <c r="U39" s="1">
        <v>3000000</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t="s">
        <v>91</v>
      </c>
      <c r="D40" s="1" t="s">
        <v>91</v>
      </c>
      <c r="E40" s="1">
        <v>653000000</v>
      </c>
      <c r="F40" s="1" t="s">
        <v>91</v>
      </c>
      <c r="G40" s="1" t="s">
        <v>91</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91</v>
      </c>
      <c r="C41" s="1" t="s">
        <v>91</v>
      </c>
      <c r="D41" s="1" t="s">
        <v>91</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91</v>
      </c>
      <c r="C42" s="1" t="s">
        <v>91</v>
      </c>
      <c r="D42" s="1" t="s">
        <v>91</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91</v>
      </c>
      <c r="C43" s="1" t="s">
        <v>91</v>
      </c>
      <c r="D43" s="1" t="s">
        <v>91</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91</v>
      </c>
      <c r="C44" s="10" t="s">
        <v>91</v>
      </c>
      <c r="D44" s="10" t="s">
        <v>91</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91</v>
      </c>
      <c r="C45" s="1" t="s">
        <v>91</v>
      </c>
      <c r="D45" s="1" t="s">
        <v>91</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91</v>
      </c>
      <c r="C46" s="1" t="s">
        <v>91</v>
      </c>
      <c r="D46" s="1" t="s">
        <v>91</v>
      </c>
      <c r="E46" s="1">
        <v>2817000000</v>
      </c>
      <c r="F46" s="1">
        <v>10394000000</v>
      </c>
      <c r="G46" s="1">
        <v>9856000000</v>
      </c>
      <c r="H46" s="1">
        <v>9521000000</v>
      </c>
      <c r="I46" s="1">
        <v>9162000000</v>
      </c>
      <c r="J46" s="1" t="s">
        <v>91</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91</v>
      </c>
      <c r="C47" s="1" t="s">
        <v>91</v>
      </c>
      <c r="D47" s="1" t="s">
        <v>91</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91</v>
      </c>
      <c r="V47" s="1" t="s">
        <v>91</v>
      </c>
      <c r="W47" s="1" t="s">
        <v>91</v>
      </c>
      <c r="X47" s="1" t="s">
        <v>91</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91</v>
      </c>
      <c r="C48" s="1" t="s">
        <v>91</v>
      </c>
      <c r="D48" s="1" t="s">
        <v>91</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91</v>
      </c>
      <c r="C49" s="1" t="s">
        <v>91</v>
      </c>
      <c r="D49" s="1" t="s">
        <v>91</v>
      </c>
      <c r="E49" s="1" t="s">
        <v>91</v>
      </c>
      <c r="F49" s="1" t="s">
        <v>91</v>
      </c>
      <c r="G49" s="1" t="s">
        <v>91</v>
      </c>
      <c r="H49" s="1" t="s">
        <v>91</v>
      </c>
      <c r="I49" s="1">
        <v>2210000000</v>
      </c>
      <c r="J49" s="1" t="s">
        <v>91</v>
      </c>
      <c r="K49" s="1" t="s">
        <v>91</v>
      </c>
      <c r="L49" s="1">
        <v>1009000000</v>
      </c>
      <c r="M49" s="1">
        <v>1060000000</v>
      </c>
      <c r="N49" s="1">
        <v>812000000</v>
      </c>
      <c r="O49" s="1">
        <v>196000000</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91</v>
      </c>
      <c r="C51" s="1" t="s">
        <v>91</v>
      </c>
      <c r="D51" s="1" t="s">
        <v>91</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91</v>
      </c>
      <c r="C52" s="1" t="s">
        <v>91</v>
      </c>
      <c r="D52" s="1" t="s">
        <v>91</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19" x14ac:dyDescent="0.25">
      <c r="A54" s="7" t="s">
        <v>46</v>
      </c>
      <c r="B54" s="11" t="s">
        <v>91</v>
      </c>
      <c r="C54" s="11" t="s">
        <v>91</v>
      </c>
      <c r="D54" s="11" t="s">
        <v>91</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91</v>
      </c>
      <c r="C55" s="1" t="s">
        <v>91</v>
      </c>
      <c r="D55" s="1" t="s">
        <v>91</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91</v>
      </c>
      <c r="C56" s="1" t="s">
        <v>91</v>
      </c>
      <c r="D56" s="1" t="s">
        <v>91</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91</v>
      </c>
      <c r="T56" s="1" t="s">
        <v>91</v>
      </c>
      <c r="U56" s="1" t="s">
        <v>91</v>
      </c>
      <c r="V56" s="1">
        <v>150000000</v>
      </c>
      <c r="W56" s="1" t="s">
        <v>91</v>
      </c>
      <c r="X56" s="1" t="s">
        <v>91</v>
      </c>
      <c r="Y56" s="1">
        <v>956000000</v>
      </c>
      <c r="Z56" s="1" t="s">
        <v>91</v>
      </c>
      <c r="AA56" s="1">
        <v>750000000</v>
      </c>
      <c r="AB56" s="1">
        <v>1500000000</v>
      </c>
      <c r="AC56" s="1">
        <v>1250000000</v>
      </c>
      <c r="AD56" s="1">
        <v>500000000</v>
      </c>
      <c r="AE56" s="1">
        <v>6000000</v>
      </c>
      <c r="AF56" s="1">
        <v>0</v>
      </c>
    </row>
    <row r="57" spans="1:32" ht="19" x14ac:dyDescent="0.25">
      <c r="A57" s="5" t="s">
        <v>49</v>
      </c>
      <c r="B57" s="1" t="s">
        <v>91</v>
      </c>
      <c r="C57" s="1" t="s">
        <v>91</v>
      </c>
      <c r="D57" s="1" t="s">
        <v>91</v>
      </c>
      <c r="E57" s="1" t="s">
        <v>91</v>
      </c>
      <c r="F57" s="1" t="s">
        <v>91</v>
      </c>
      <c r="G57" s="1" t="s">
        <v>91</v>
      </c>
      <c r="H57" s="1" t="s">
        <v>91</v>
      </c>
      <c r="I57" s="1" t="s">
        <v>91</v>
      </c>
      <c r="J57" s="1" t="s">
        <v>91</v>
      </c>
      <c r="K57" s="1" t="s">
        <v>91</v>
      </c>
      <c r="L57" s="1">
        <v>107000000</v>
      </c>
      <c r="M57" s="1">
        <v>91000000</v>
      </c>
      <c r="N57" s="1" t="s">
        <v>91</v>
      </c>
      <c r="O57" s="1" t="s">
        <v>91</v>
      </c>
      <c r="P57" s="1" t="s">
        <v>91</v>
      </c>
      <c r="Q57" s="1" t="s">
        <v>91</v>
      </c>
      <c r="R57" s="1" t="s">
        <v>91</v>
      </c>
      <c r="S57" s="1" t="s">
        <v>91</v>
      </c>
      <c r="T57" s="1" t="s">
        <v>91</v>
      </c>
      <c r="U57" s="1" t="s">
        <v>91</v>
      </c>
      <c r="V57" s="1">
        <v>1649000000</v>
      </c>
      <c r="W57" s="1">
        <v>1809000000</v>
      </c>
      <c r="X57" s="1">
        <v>1826000000</v>
      </c>
      <c r="Y57" s="1">
        <v>1916000000</v>
      </c>
      <c r="Z57" s="1">
        <v>1764000000</v>
      </c>
      <c r="AA57" s="1">
        <v>1785000000</v>
      </c>
      <c r="AB57" s="1">
        <v>2122000000</v>
      </c>
      <c r="AC57" s="1">
        <v>2466000000</v>
      </c>
      <c r="AD57" s="1">
        <v>3163000000</v>
      </c>
      <c r="AE57" s="1">
        <v>3108000000</v>
      </c>
      <c r="AF57" s="1" t="s">
        <v>91</v>
      </c>
    </row>
    <row r="58" spans="1:32" ht="19" x14ac:dyDescent="0.25">
      <c r="A58" s="5" t="s">
        <v>50</v>
      </c>
      <c r="B58" s="1" t="s">
        <v>91</v>
      </c>
      <c r="C58" s="1" t="s">
        <v>91</v>
      </c>
      <c r="D58" s="1" t="s">
        <v>91</v>
      </c>
      <c r="E58" s="1">
        <v>1570000000</v>
      </c>
      <c r="F58" s="1">
        <v>2600000000</v>
      </c>
      <c r="G58" s="1">
        <v>3644000000</v>
      </c>
      <c r="H58" s="1">
        <v>4012000000</v>
      </c>
      <c r="I58" s="1">
        <v>4655000000</v>
      </c>
      <c r="J58" s="1" t="s">
        <v>91</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91</v>
      </c>
    </row>
    <row r="59" spans="1:32" ht="19" x14ac:dyDescent="0.25">
      <c r="A59" s="5" t="s">
        <v>51</v>
      </c>
      <c r="B59" s="1" t="s">
        <v>91</v>
      </c>
      <c r="C59" s="1" t="s">
        <v>91</v>
      </c>
      <c r="D59" s="1" t="s">
        <v>91</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91</v>
      </c>
      <c r="C60" s="10" t="s">
        <v>91</v>
      </c>
      <c r="D60" s="10" t="s">
        <v>91</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91</v>
      </c>
      <c r="C61" s="1" t="s">
        <v>91</v>
      </c>
      <c r="D61" s="1" t="s">
        <v>91</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v>736000000</v>
      </c>
      <c r="K63" s="1">
        <v>992000000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row>
    <row r="64" spans="1:32" ht="19" x14ac:dyDescent="0.25">
      <c r="A64" s="5" t="s">
        <v>55</v>
      </c>
      <c r="B64" s="1" t="s">
        <v>91</v>
      </c>
      <c r="C64" s="1" t="s">
        <v>91</v>
      </c>
      <c r="D64" s="1" t="s">
        <v>91</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91</v>
      </c>
      <c r="C65" s="1" t="s">
        <v>91</v>
      </c>
      <c r="D65" s="1" t="s">
        <v>91</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91</v>
      </c>
      <c r="C68" s="1" t="s">
        <v>91</v>
      </c>
      <c r="D68" s="1" t="s">
        <v>91</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91</v>
      </c>
      <c r="C69" s="1" t="s">
        <v>91</v>
      </c>
      <c r="D69" s="1" t="s">
        <v>91</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91</v>
      </c>
      <c r="C70" s="1" t="s">
        <v>91</v>
      </c>
      <c r="D70" s="1" t="s">
        <v>91</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91</v>
      </c>
      <c r="C71" s="1" t="s">
        <v>91</v>
      </c>
      <c r="D71" s="1" t="s">
        <v>91</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v>221000000</v>
      </c>
      <c r="AE71" s="1">
        <v>94000000</v>
      </c>
      <c r="AF71" s="1">
        <v>92000000</v>
      </c>
    </row>
    <row r="72" spans="1:32" ht="19" x14ac:dyDescent="0.25">
      <c r="A72" s="6" t="s">
        <v>63</v>
      </c>
      <c r="B72" s="10" t="s">
        <v>91</v>
      </c>
      <c r="C72" s="10" t="s">
        <v>91</v>
      </c>
      <c r="D72" s="10" t="s">
        <v>91</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91</v>
      </c>
      <c r="C73" s="11" t="s">
        <v>91</v>
      </c>
      <c r="D73" s="11" t="s">
        <v>91</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t="s">
        <v>91</v>
      </c>
      <c r="E76" s="1" t="s">
        <v>91</v>
      </c>
      <c r="F76" s="1" t="s">
        <v>91</v>
      </c>
      <c r="G76" s="1">
        <v>1300000000</v>
      </c>
      <c r="H76" s="1">
        <v>1001000000</v>
      </c>
      <c r="I76" s="1" t="s">
        <v>91</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103</v>
      </c>
      <c r="B80" s="15" t="e">
        <f t="shared" ref="B80:AF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f t="shared" si="73"/>
        <v>3.5593139362667813E-3</v>
      </c>
      <c r="R80" s="15">
        <f t="shared" si="73"/>
        <v>3.627343146661674E-3</v>
      </c>
      <c r="S80" s="15">
        <f t="shared" si="73"/>
        <v>3.4079090044037267E-3</v>
      </c>
      <c r="T80" s="15">
        <f t="shared" si="73"/>
        <v>3.6678820164618036E-3</v>
      </c>
      <c r="U80" s="15">
        <f t="shared" si="73"/>
        <v>3.3764166971332718E-3</v>
      </c>
      <c r="V80" s="15">
        <f t="shared" si="73"/>
        <v>3.5394853969734222E-3</v>
      </c>
      <c r="W80" s="15">
        <f t="shared" si="73"/>
        <v>4.1668503902288464E-3</v>
      </c>
      <c r="X80" s="15">
        <f t="shared" si="73"/>
        <v>3.5964912280701754E-3</v>
      </c>
      <c r="Y80" s="15">
        <f t="shared" si="73"/>
        <v>2.9914159368767883E-3</v>
      </c>
      <c r="Z80" s="15">
        <f t="shared" si="73"/>
        <v>3.1535726379952589E-3</v>
      </c>
      <c r="AA80" s="15">
        <f t="shared" si="73"/>
        <v>3.0951261557749569E-3</v>
      </c>
      <c r="AB80" s="15">
        <f t="shared" si="73"/>
        <v>3.2178862393512147E-3</v>
      </c>
      <c r="AC80" s="15">
        <f t="shared" si="73"/>
        <v>3.1599010232060457E-3</v>
      </c>
      <c r="AD80" s="15">
        <f t="shared" si="73"/>
        <v>3.379308235725863E-3</v>
      </c>
      <c r="AE80" s="15">
        <f t="shared" si="73"/>
        <v>3.3858361672931209E-3</v>
      </c>
      <c r="AF80" s="15">
        <f t="shared" si="73"/>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91</v>
      </c>
      <c r="K82" s="1" t="s">
        <v>91</v>
      </c>
      <c r="L82" s="1">
        <v>394000000</v>
      </c>
      <c r="M82" s="1" t="s">
        <v>91</v>
      </c>
      <c r="N82" s="1">
        <v>-87000000</v>
      </c>
      <c r="O82" s="1">
        <v>-390000000</v>
      </c>
      <c r="P82" s="1" t="s">
        <v>91</v>
      </c>
      <c r="Q82" s="1" t="s">
        <v>91</v>
      </c>
      <c r="R82" s="1" t="s">
        <v>91</v>
      </c>
      <c r="S82" s="1" t="s">
        <v>91</v>
      </c>
      <c r="T82" s="1">
        <v>-15000000</v>
      </c>
      <c r="U82" s="1" t="s">
        <v>91</v>
      </c>
      <c r="V82" s="1">
        <v>-460000000</v>
      </c>
      <c r="W82" s="1">
        <v>767000000</v>
      </c>
      <c r="X82" s="1">
        <v>28000000</v>
      </c>
      <c r="Y82" s="1">
        <v>-256000000</v>
      </c>
      <c r="Z82" s="1">
        <v>-811000000</v>
      </c>
      <c r="AA82" s="1">
        <v>-401000000</v>
      </c>
      <c r="AB82" s="1">
        <v>-179000000</v>
      </c>
      <c r="AC82" s="1">
        <v>107000000</v>
      </c>
      <c r="AD82" s="1">
        <v>359000000</v>
      </c>
      <c r="AE82" s="1">
        <v>15000000</v>
      </c>
      <c r="AF82" s="1" t="s">
        <v>91</v>
      </c>
    </row>
    <row r="83" spans="1:40" ht="19"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row>
    <row r="84" spans="1:40" ht="19" customHeight="1" x14ac:dyDescent="0.25">
      <c r="A84" s="5" t="s">
        <v>47</v>
      </c>
      <c r="B84" s="1" t="s">
        <v>91</v>
      </c>
      <c r="C84" s="1" t="s">
        <v>91</v>
      </c>
      <c r="D84" s="1" t="s">
        <v>91</v>
      </c>
      <c r="E84" s="1" t="s">
        <v>91</v>
      </c>
      <c r="F84" s="1" t="s">
        <v>91</v>
      </c>
      <c r="G84" s="1" t="s">
        <v>91</v>
      </c>
      <c r="H84" s="1" t="s">
        <v>91</v>
      </c>
      <c r="I84" s="1" t="s">
        <v>91</v>
      </c>
      <c r="J84" s="1" t="s">
        <v>91</v>
      </c>
      <c r="K84" s="1" t="s">
        <v>91</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G84" s="39"/>
      <c r="AH84" s="39"/>
      <c r="AI84" s="39"/>
      <c r="AJ84" s="39"/>
      <c r="AK84" s="39"/>
      <c r="AL84" s="39"/>
      <c r="AM84" s="69" t="s">
        <v>123</v>
      </c>
      <c r="AN84" s="70"/>
    </row>
    <row r="85" spans="1:40" ht="19" customHeight="1" x14ac:dyDescent="0.25">
      <c r="A85" s="5" t="s">
        <v>71</v>
      </c>
      <c r="B85" s="1">
        <v>-88000000</v>
      </c>
      <c r="C85" s="1">
        <v>-405000000</v>
      </c>
      <c r="D85" s="1">
        <v>-77000000</v>
      </c>
      <c r="E85" s="1">
        <v>-419000000</v>
      </c>
      <c r="F85" s="1">
        <v>-139000000</v>
      </c>
      <c r="G85" s="1">
        <v>-149000000</v>
      </c>
      <c r="H85" s="1">
        <v>-322000000</v>
      </c>
      <c r="I85" s="1">
        <v>-677000000</v>
      </c>
      <c r="J85" s="1" t="s">
        <v>91</v>
      </c>
      <c r="K85" s="1">
        <v>-336000000</v>
      </c>
      <c r="L85" s="1">
        <v>320000000</v>
      </c>
      <c r="M85" s="1" t="s">
        <v>91</v>
      </c>
      <c r="N85" s="1" t="s">
        <v>91</v>
      </c>
      <c r="O85" s="1" t="s">
        <v>91</v>
      </c>
      <c r="P85" s="1" t="s">
        <v>91</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91</v>
      </c>
      <c r="AG85" s="39"/>
      <c r="AH85" s="39"/>
      <c r="AI85" s="39"/>
      <c r="AJ85" s="39"/>
      <c r="AK85" s="39"/>
      <c r="AL85" s="39"/>
      <c r="AM85" s="72" t="s">
        <v>124</v>
      </c>
      <c r="AN85" s="72"/>
    </row>
    <row r="86" spans="1:40" ht="20" x14ac:dyDescent="0.25">
      <c r="A86" s="5" t="s">
        <v>72</v>
      </c>
      <c r="B86" s="1">
        <v>649000000</v>
      </c>
      <c r="C86" s="1">
        <v>829000000</v>
      </c>
      <c r="D86" s="1">
        <v>887000000</v>
      </c>
      <c r="E86" s="1">
        <v>1164000000</v>
      </c>
      <c r="F86" s="1">
        <v>738000000</v>
      </c>
      <c r="G86" s="1">
        <v>-379000000</v>
      </c>
      <c r="H86" s="1" t="s">
        <v>91</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91</v>
      </c>
      <c r="AG86" s="39"/>
      <c r="AH86" s="39"/>
      <c r="AI86" s="39"/>
      <c r="AJ86" s="39"/>
      <c r="AK86" s="39"/>
      <c r="AL86" s="39"/>
      <c r="AM86" s="21" t="s">
        <v>125</v>
      </c>
      <c r="AN86" s="40">
        <f>AF17</f>
        <v>623000000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G87" s="39"/>
      <c r="AH87" s="39"/>
      <c r="AI87" s="39"/>
      <c r="AJ87" s="39"/>
      <c r="AK87" s="39"/>
      <c r="AL87" s="39"/>
      <c r="AM87" s="21" t="s">
        <v>126</v>
      </c>
      <c r="AN87" s="41">
        <f>AF56</f>
        <v>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-918000000</v>
      </c>
      <c r="W88" s="1">
        <v>-852000000</v>
      </c>
      <c r="X88" s="1">
        <v>-825000000</v>
      </c>
      <c r="Y88" s="1">
        <v>-731000000</v>
      </c>
      <c r="Z88" s="1">
        <v>-985000000</v>
      </c>
      <c r="AA88" s="1">
        <v>-1147000000</v>
      </c>
      <c r="AB88" s="1">
        <v>-1075000000</v>
      </c>
      <c r="AC88" s="1">
        <v>-1241000000</v>
      </c>
      <c r="AD88" s="1">
        <v>-1728000000</v>
      </c>
      <c r="AE88" s="1">
        <v>-1161000000</v>
      </c>
      <c r="AF88" s="1">
        <v>-1789000000</v>
      </c>
      <c r="AG88" s="39"/>
      <c r="AH88" s="39"/>
      <c r="AI88" s="39"/>
      <c r="AJ88" s="39"/>
      <c r="AK88" s="39"/>
      <c r="AL88" s="39"/>
      <c r="AM88" s="21" t="s">
        <v>127</v>
      </c>
      <c r="AN88" s="40">
        <f>AF61</f>
        <v>15429000000</v>
      </c>
    </row>
    <row r="89" spans="1:40" ht="20" x14ac:dyDescent="0.25">
      <c r="A89" s="14" t="s">
        <v>104</v>
      </c>
      <c r="B89" s="15">
        <f t="shared" ref="B89:AF89" si="74">(-1*B88)/B3</f>
        <v>3.106674984404242E-2</v>
      </c>
      <c r="C89" s="15">
        <f t="shared" si="74"/>
        <v>2.3931776577220162E-2</v>
      </c>
      <c r="D89" s="15">
        <f t="shared" si="74"/>
        <v>2.2221252073692483E-2</v>
      </c>
      <c r="E89" s="15">
        <f t="shared" si="74"/>
        <v>2.3235461427383714E-2</v>
      </c>
      <c r="F89" s="15">
        <f t="shared" si="74"/>
        <v>2.7423255813953488E-2</v>
      </c>
      <c r="G89" s="15">
        <f t="shared" si="74"/>
        <v>2.6719868894509956E-2</v>
      </c>
      <c r="H89" s="15">
        <f t="shared" si="74"/>
        <v>2.6536206502703115E-2</v>
      </c>
      <c r="I89" s="15">
        <f t="shared" si="74"/>
        <v>2.6204465334900118E-2</v>
      </c>
      <c r="J89" s="15">
        <f t="shared" si="74"/>
        <v>1.9740218721623435E-2</v>
      </c>
      <c r="K89" s="15">
        <f t="shared" si="74"/>
        <v>2.5802417674030846E-2</v>
      </c>
      <c r="L89" s="15">
        <f t="shared" si="74"/>
        <v>2.4907818496500866E-2</v>
      </c>
      <c r="M89" s="15">
        <f t="shared" si="74"/>
        <v>2.1587481146304675E-2</v>
      </c>
      <c r="N89" s="15">
        <f t="shared" si="74"/>
        <v>2.1646118335866688E-2</v>
      </c>
      <c r="O89" s="15">
        <f t="shared" si="74"/>
        <v>2.3244565071346035E-2</v>
      </c>
      <c r="P89" s="15">
        <f t="shared" si="74"/>
        <v>2.2539121655729428E-2</v>
      </c>
      <c r="Q89" s="15">
        <f t="shared" si="74"/>
        <v>2.2454732215374324E-2</v>
      </c>
      <c r="R89" s="15">
        <f t="shared" si="74"/>
        <v>2.1670450024572324E-2</v>
      </c>
      <c r="S89" s="15">
        <f t="shared" si="74"/>
        <v>1.8854145920467372E-2</v>
      </c>
      <c r="T89" s="15">
        <f t="shared" si="74"/>
        <v>1.7902757461301662E-2</v>
      </c>
      <c r="U89" s="15">
        <f t="shared" si="74"/>
        <v>1.7505752811888427E-2</v>
      </c>
      <c r="V89" s="15">
        <f t="shared" si="74"/>
        <v>1.9456572421686236E-2</v>
      </c>
      <c r="W89" s="15">
        <f t="shared" si="74"/>
        <v>1.8783896997222101E-2</v>
      </c>
      <c r="X89" s="15">
        <f t="shared" si="74"/>
        <v>1.8092105263157895E-2</v>
      </c>
      <c r="Y89" s="15">
        <f t="shared" si="74"/>
        <v>1.5845833694615452E-2</v>
      </c>
      <c r="Z89" s="15">
        <f t="shared" si="74"/>
        <v>2.0847443278022348E-2</v>
      </c>
      <c r="AA89" s="15">
        <f t="shared" si="74"/>
        <v>2.246904873844225E-2</v>
      </c>
      <c r="AB89" s="15">
        <f t="shared" si="74"/>
        <v>1.9995535880361594E-2</v>
      </c>
      <c r="AC89" s="15">
        <f t="shared" si="74"/>
        <v>2.074834481374975E-2</v>
      </c>
      <c r="AD89" s="15">
        <f t="shared" si="74"/>
        <v>2.6422826386128015E-2</v>
      </c>
      <c r="AE89" s="15">
        <f t="shared" si="74"/>
        <v>1.7316985860032219E-2</v>
      </c>
      <c r="AF89" s="15">
        <f t="shared" si="74"/>
        <v>2.7112633365664402E-2</v>
      </c>
      <c r="AG89" s="39"/>
      <c r="AH89" s="39"/>
      <c r="AI89" s="39"/>
      <c r="AJ89" s="39"/>
      <c r="AK89" s="39"/>
      <c r="AL89" s="39"/>
      <c r="AM89" s="22" t="s">
        <v>128</v>
      </c>
      <c r="AN89" s="42">
        <f>AN86/(AN87+AN88)</f>
        <v>4.0378508004407287E-2</v>
      </c>
    </row>
    <row r="90" spans="1:40" ht="20" x14ac:dyDescent="0.25">
      <c r="A90" s="5" t="s">
        <v>75</v>
      </c>
      <c r="B90" s="1">
        <v>-19000000</v>
      </c>
      <c r="C90" s="1">
        <v>-2420000000</v>
      </c>
      <c r="D90" s="1">
        <v>-125000000</v>
      </c>
      <c r="E90" s="1">
        <v>-294000000</v>
      </c>
      <c r="F90" s="1">
        <v>-35000000</v>
      </c>
      <c r="G90" s="1">
        <v>890000000</v>
      </c>
      <c r="H90" s="1">
        <v>134000000</v>
      </c>
      <c r="I90" s="1">
        <v>160000000</v>
      </c>
      <c r="J90" s="1" t="s">
        <v>91</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91</v>
      </c>
      <c r="AA90" s="1" t="s">
        <v>91</v>
      </c>
      <c r="AB90" s="1" t="s">
        <v>91</v>
      </c>
      <c r="AC90" s="1" t="s">
        <v>91</v>
      </c>
      <c r="AD90" s="1">
        <v>-282000000</v>
      </c>
      <c r="AE90" s="1" t="s">
        <v>91</v>
      </c>
      <c r="AF90" s="1" t="s">
        <v>91</v>
      </c>
      <c r="AG90" s="39"/>
      <c r="AH90" s="39"/>
      <c r="AI90" s="39"/>
      <c r="AJ90" s="39"/>
      <c r="AK90" s="39"/>
      <c r="AL90" s="39"/>
      <c r="AM90" s="21" t="s">
        <v>105</v>
      </c>
      <c r="AN90" s="40">
        <f>AF27</f>
        <v>948000000</v>
      </c>
    </row>
    <row r="91" spans="1:40" ht="20" x14ac:dyDescent="0.25">
      <c r="A91" s="5" t="s">
        <v>76</v>
      </c>
      <c r="B91" s="1">
        <v>-200000000</v>
      </c>
      <c r="C91" s="1" t="s">
        <v>91</v>
      </c>
      <c r="D91" s="1" t="s">
        <v>91</v>
      </c>
      <c r="E91" s="1" t="s">
        <v>91</v>
      </c>
      <c r="F91" s="1" t="s">
        <v>91</v>
      </c>
      <c r="G91" s="1" t="s">
        <v>91</v>
      </c>
      <c r="H91" s="1" t="s">
        <v>91</v>
      </c>
      <c r="I91" s="1" t="s">
        <v>91</v>
      </c>
      <c r="J91" s="1" t="s">
        <v>91</v>
      </c>
      <c r="K91" s="1">
        <v>-192000000</v>
      </c>
      <c r="L91" s="1" t="s">
        <v>91</v>
      </c>
      <c r="M91" s="1">
        <v>-240000000</v>
      </c>
      <c r="N91" s="1">
        <v>-156000000</v>
      </c>
      <c r="O91" s="1">
        <v>-33000000</v>
      </c>
      <c r="P91" s="1" t="s">
        <v>91</v>
      </c>
      <c r="Q91" s="1" t="s">
        <v>91</v>
      </c>
      <c r="R91" s="1" t="s">
        <v>91</v>
      </c>
      <c r="S91" s="1">
        <v>-279000000</v>
      </c>
      <c r="T91" s="1">
        <v>-171000000</v>
      </c>
      <c r="U91" s="1" t="s">
        <v>91</v>
      </c>
      <c r="V91" s="1" t="s">
        <v>91</v>
      </c>
      <c r="W91" s="1" t="s">
        <v>91</v>
      </c>
      <c r="X91" s="1" t="s">
        <v>91</v>
      </c>
      <c r="Y91" s="1" t="s">
        <v>91</v>
      </c>
      <c r="Z91" s="1" t="s">
        <v>91</v>
      </c>
      <c r="AA91" s="1" t="s">
        <v>91</v>
      </c>
      <c r="AB91" s="1" t="s">
        <v>91</v>
      </c>
      <c r="AC91" s="1" t="s">
        <v>91</v>
      </c>
      <c r="AD91" s="1" t="s">
        <v>91</v>
      </c>
      <c r="AE91" s="1" t="s">
        <v>91</v>
      </c>
      <c r="AF91" s="1" t="s">
        <v>91</v>
      </c>
      <c r="AG91" s="39"/>
      <c r="AH91" s="39"/>
      <c r="AI91" s="39"/>
      <c r="AJ91" s="39"/>
      <c r="AK91" s="39"/>
      <c r="AL91" s="39"/>
      <c r="AM91" s="21" t="s">
        <v>19</v>
      </c>
      <c r="AN91" s="40">
        <f>AF25</f>
        <v>6680000000</v>
      </c>
    </row>
    <row r="92" spans="1:40" ht="20" x14ac:dyDescent="0.25">
      <c r="A92" s="5" t="s">
        <v>77</v>
      </c>
      <c r="B92" s="1">
        <v>214000000</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272000000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39"/>
      <c r="AH92" s="39"/>
      <c r="AI92" s="39"/>
      <c r="AJ92" s="39"/>
      <c r="AK92" s="39"/>
      <c r="AL92" s="39"/>
      <c r="AM92" s="22" t="s">
        <v>129</v>
      </c>
      <c r="AN92" s="42">
        <f>AN90/AN91</f>
        <v>0.14191616766467066</v>
      </c>
    </row>
    <row r="93" spans="1:40" ht="19" customHeight="1"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G93" s="39"/>
      <c r="AH93" s="39"/>
      <c r="AI93" s="39"/>
      <c r="AJ93" s="39"/>
      <c r="AK93" s="39"/>
      <c r="AL93" s="39"/>
      <c r="AM93" s="22" t="s">
        <v>130</v>
      </c>
      <c r="AN93" s="42">
        <f>AN89*(1-AN92)</f>
        <v>3.464814489240458E-2</v>
      </c>
    </row>
    <row r="94" spans="1:40" ht="20" customHeight="1"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G94" s="39"/>
      <c r="AH94" s="39"/>
      <c r="AI94" s="39"/>
      <c r="AJ94" s="39"/>
      <c r="AK94" s="39"/>
      <c r="AL94" s="39"/>
      <c r="AM94" s="72" t="s">
        <v>131</v>
      </c>
      <c r="AN94" s="72"/>
    </row>
    <row r="95" spans="1:40" ht="20" x14ac:dyDescent="0.25">
      <c r="A95" s="5" t="s">
        <v>80</v>
      </c>
      <c r="B95" s="1">
        <v>-494000000</v>
      </c>
      <c r="C95" s="1">
        <v>-750000000</v>
      </c>
      <c r="D95" s="1">
        <v>-519000000</v>
      </c>
      <c r="E95" s="1">
        <v>-301000000</v>
      </c>
      <c r="F95" s="1">
        <v>-2105000000</v>
      </c>
      <c r="G95" s="1">
        <v>-219000000</v>
      </c>
      <c r="H95" s="1">
        <v>-1136000000</v>
      </c>
      <c r="I95" s="1">
        <v>-1935000000</v>
      </c>
      <c r="J95" s="1" t="s">
        <v>91</v>
      </c>
      <c r="K95" s="1">
        <v>-2578000000</v>
      </c>
      <c r="L95" s="1">
        <v>-110000000</v>
      </c>
      <c r="M95" s="1">
        <v>-2202000000</v>
      </c>
      <c r="N95" s="1">
        <v>-1252000000</v>
      </c>
      <c r="O95" s="1">
        <v>-145000000</v>
      </c>
      <c r="P95" s="1">
        <v>-210000000</v>
      </c>
      <c r="Q95" s="1">
        <v>-32000000</v>
      </c>
      <c r="R95" s="1">
        <v>-1103000000</v>
      </c>
      <c r="S95" s="1">
        <v>-242000000</v>
      </c>
      <c r="T95" s="1" t="s">
        <v>91</v>
      </c>
      <c r="U95" s="1">
        <v>-632000000</v>
      </c>
      <c r="V95" s="1" t="s">
        <v>91</v>
      </c>
      <c r="W95" s="1">
        <v>-150000000</v>
      </c>
      <c r="X95" s="1" t="s">
        <v>91</v>
      </c>
      <c r="Y95" s="1">
        <v>-6000000000</v>
      </c>
      <c r="Z95" s="1">
        <v>-952000000</v>
      </c>
      <c r="AA95" s="1" t="s">
        <v>91</v>
      </c>
      <c r="AB95" s="1">
        <v>-750000000</v>
      </c>
      <c r="AC95" s="1">
        <v>-1500000000</v>
      </c>
      <c r="AD95" s="1">
        <v>-1650000000</v>
      </c>
      <c r="AE95" s="1">
        <v>-500000000</v>
      </c>
      <c r="AF95" s="1">
        <v>-2250000000</v>
      </c>
      <c r="AG95" s="39"/>
      <c r="AH95" s="39"/>
      <c r="AI95" s="39"/>
      <c r="AJ95" s="39"/>
      <c r="AK95" s="39"/>
      <c r="AL95" s="39"/>
      <c r="AM95" s="21" t="s">
        <v>132</v>
      </c>
      <c r="AN95" s="43">
        <f>'[1]US Treasury Bonds'!$C$8</f>
        <v>4.9020000000000001E-2</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91</v>
      </c>
      <c r="V96" s="1" t="s">
        <v>91</v>
      </c>
      <c r="W96" s="1" t="s">
        <v>91</v>
      </c>
      <c r="X96" s="1" t="s">
        <v>91</v>
      </c>
      <c r="Y96" s="1" t="s">
        <v>91</v>
      </c>
      <c r="Z96" s="1" t="s">
        <v>91</v>
      </c>
      <c r="AA96" s="1" t="s">
        <v>91</v>
      </c>
      <c r="AB96" s="1" t="s">
        <v>91</v>
      </c>
      <c r="AC96" s="1" t="s">
        <v>91</v>
      </c>
      <c r="AD96" s="1" t="s">
        <v>91</v>
      </c>
      <c r="AE96" s="1" t="s">
        <v>91</v>
      </c>
      <c r="AF96" s="1" t="s">
        <v>91</v>
      </c>
      <c r="AG96" s="39"/>
      <c r="AH96" s="39"/>
      <c r="AI96" s="39"/>
      <c r="AJ96" s="39"/>
      <c r="AK96" s="39"/>
      <c r="AL96" s="39"/>
      <c r="AM96" s="21" t="s">
        <v>133</v>
      </c>
      <c r="AN96" s="44" cm="1">
        <f t="array" ref="AN96">_FV(A1,"Beta")</f>
        <v>0.62090000000000001</v>
      </c>
    </row>
    <row r="97" spans="1:40" ht="20" x14ac:dyDescent="0.25">
      <c r="A97" s="5" t="s">
        <v>82</v>
      </c>
      <c r="B97" s="1">
        <v>-266000000</v>
      </c>
      <c r="C97" s="1" t="s">
        <v>91</v>
      </c>
      <c r="D97" s="1" t="s">
        <v>91</v>
      </c>
      <c r="E97" s="1">
        <v>-150000000</v>
      </c>
      <c r="F97" s="1" t="s">
        <v>91</v>
      </c>
      <c r="G97" s="1">
        <v>-1571000000</v>
      </c>
      <c r="H97" s="1">
        <v>-51000000</v>
      </c>
      <c r="I97" s="1" t="s">
        <v>91</v>
      </c>
      <c r="J97" s="1" t="s">
        <v>91</v>
      </c>
      <c r="K97" s="1" t="s">
        <v>91</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G97" s="39"/>
      <c r="AH97" s="39"/>
      <c r="AI97" s="39"/>
      <c r="AJ97" s="39"/>
      <c r="AK97" s="39"/>
      <c r="AL97" s="39"/>
      <c r="AM97" s="21" t="s">
        <v>134</v>
      </c>
      <c r="AN97" s="43">
        <v>8.4000000000000005E-2</v>
      </c>
    </row>
    <row r="98" spans="1:40" ht="19" customHeight="1"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G98" s="39"/>
      <c r="AH98" s="39"/>
      <c r="AI98" s="39"/>
      <c r="AJ98" s="39"/>
      <c r="AK98" s="39"/>
      <c r="AL98" s="39"/>
      <c r="AM98" s="22" t="s">
        <v>135</v>
      </c>
      <c r="AN98" s="42">
        <f>(AN95)+((AN96)*(AN97-AN95))</f>
        <v>7.0739082000000009E-2</v>
      </c>
    </row>
    <row r="99" spans="1:40" ht="20" customHeight="1" x14ac:dyDescent="0.25">
      <c r="A99" s="5" t="s">
        <v>84</v>
      </c>
      <c r="B99" s="1">
        <v>345000000</v>
      </c>
      <c r="C99" s="1">
        <v>2281000000</v>
      </c>
      <c r="D99" s="1">
        <v>43000000</v>
      </c>
      <c r="E99" s="1">
        <v>125000000</v>
      </c>
      <c r="F99" s="1">
        <v>8110000000</v>
      </c>
      <c r="G99" s="1">
        <v>639000000</v>
      </c>
      <c r="H99" s="1">
        <v>115000000</v>
      </c>
      <c r="I99" s="1">
        <v>2994000000</v>
      </c>
      <c r="J99" s="1">
        <v>-2559000000</v>
      </c>
      <c r="K99" s="1" t="s">
        <v>91</v>
      </c>
      <c r="L99" s="1" t="s">
        <v>91</v>
      </c>
      <c r="M99" s="1">
        <v>825000000</v>
      </c>
      <c r="N99" s="1" t="s">
        <v>91</v>
      </c>
      <c r="O99" s="1" t="s">
        <v>91</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G99" s="39"/>
      <c r="AH99" s="39"/>
      <c r="AI99" s="39"/>
      <c r="AJ99" s="39"/>
      <c r="AK99" s="39"/>
      <c r="AL99" s="39"/>
      <c r="AM99" s="72" t="s">
        <v>136</v>
      </c>
      <c r="AN99" s="72"/>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G100" s="39"/>
      <c r="AH100" s="39"/>
      <c r="AI100" s="39"/>
      <c r="AJ100" s="39"/>
      <c r="AK100" s="39"/>
      <c r="AL100" s="39"/>
      <c r="AM100" s="21" t="s">
        <v>137</v>
      </c>
      <c r="AN100" s="40">
        <f>AN87+AN88</f>
        <v>15429000000</v>
      </c>
    </row>
    <row r="101" spans="1:40"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-56000000</v>
      </c>
      <c r="S101" s="1">
        <v>44000000</v>
      </c>
      <c r="T101" s="1">
        <v>5000000</v>
      </c>
      <c r="U101" s="1" t="s">
        <v>91</v>
      </c>
      <c r="V101" s="1" t="s">
        <v>91</v>
      </c>
      <c r="W101" s="1" t="s">
        <v>91</v>
      </c>
      <c r="X101" s="1" t="s">
        <v>91</v>
      </c>
      <c r="Y101" s="1" t="s">
        <v>91</v>
      </c>
      <c r="Z101" s="1" t="s">
        <v>91</v>
      </c>
      <c r="AA101" s="1" t="s">
        <v>91</v>
      </c>
      <c r="AB101" s="1" t="s">
        <v>91</v>
      </c>
      <c r="AC101" s="1" t="s">
        <v>91</v>
      </c>
      <c r="AD101" s="1" t="s">
        <v>91</v>
      </c>
      <c r="AE101" s="1" t="s">
        <v>91</v>
      </c>
      <c r="AF101" s="1" t="s">
        <v>91</v>
      </c>
      <c r="AG101" s="39"/>
      <c r="AH101" s="39"/>
      <c r="AI101" s="39"/>
      <c r="AJ101" s="39"/>
      <c r="AK101" s="39"/>
      <c r="AL101" s="39"/>
      <c r="AM101" s="22" t="s">
        <v>138</v>
      </c>
      <c r="AN101" s="42">
        <f>AN100/AN104</f>
        <v>0.12161269925044331</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G102" s="39"/>
      <c r="AH102" s="39"/>
      <c r="AI102" s="39"/>
      <c r="AJ102" s="39"/>
      <c r="AK102" s="39"/>
      <c r="AL102" s="39"/>
      <c r="AM102" s="21" t="s">
        <v>139</v>
      </c>
      <c r="AN102" s="45" cm="1">
        <f t="array" ref="AN102">_FV(A1,"Market cap",TRUE)</f>
        <v>111440974066</v>
      </c>
    </row>
    <row r="103" spans="1:40" ht="20" x14ac:dyDescent="0.25">
      <c r="A103" s="5" t="s">
        <v>88</v>
      </c>
      <c r="B103" s="1">
        <v>344000000</v>
      </c>
      <c r="C103" s="1">
        <v>356000000</v>
      </c>
      <c r="D103" s="1">
        <v>366000000</v>
      </c>
      <c r="E103" s="1">
        <v>639000000</v>
      </c>
      <c r="F103" s="1">
        <v>653000000</v>
      </c>
      <c r="G103" s="1" t="s">
        <v>91</v>
      </c>
      <c r="H103" s="1" t="s">
        <v>91</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G103" s="39"/>
      <c r="AH103" s="39"/>
      <c r="AI103" s="39"/>
      <c r="AJ103" s="39"/>
      <c r="AK103" s="39"/>
      <c r="AL103" s="39"/>
      <c r="AM103" s="22" t="s">
        <v>140</v>
      </c>
      <c r="AN103" s="42">
        <f>AN102/AN104</f>
        <v>0.87838730074955673</v>
      </c>
    </row>
    <row r="104" spans="1:40" ht="20" customHeight="1" thickBot="1" x14ac:dyDescent="0.3">
      <c r="A104" s="7" t="s">
        <v>89</v>
      </c>
      <c r="B104" s="11">
        <v>356000000</v>
      </c>
      <c r="C104" s="11">
        <v>366000000</v>
      </c>
      <c r="D104" s="11">
        <v>639000000</v>
      </c>
      <c r="E104" s="11">
        <v>653000000</v>
      </c>
      <c r="F104" s="11" t="s">
        <v>91</v>
      </c>
      <c r="G104" s="11" t="s">
        <v>91</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G104" s="73" t="s">
        <v>114</v>
      </c>
      <c r="AH104" s="73"/>
      <c r="AI104" s="73"/>
      <c r="AJ104" s="73"/>
      <c r="AK104" s="73"/>
      <c r="AL104" s="39"/>
      <c r="AM104" s="22" t="s">
        <v>141</v>
      </c>
      <c r="AN104" s="46">
        <f>AN100+AN102</f>
        <v>126869974066</v>
      </c>
    </row>
    <row r="105" spans="1:40" ht="21" customHeight="1" thickTop="1" x14ac:dyDescent="0.25">
      <c r="A105" s="14" t="s">
        <v>158</v>
      </c>
      <c r="B105" s="1">
        <f t="shared" ref="B105:AF105" si="75">(B22*(1-$AN$92))+B77+B88+B81</f>
        <v>1021357485.0299401</v>
      </c>
      <c r="C105" s="1">
        <f t="shared" si="75"/>
        <v>1250449101.7964072</v>
      </c>
      <c r="D105" s="1">
        <f t="shared" si="75"/>
        <v>1550531137.7245512</v>
      </c>
      <c r="E105" s="1">
        <f t="shared" si="75"/>
        <v>813063473.05389214</v>
      </c>
      <c r="F105" s="1">
        <f t="shared" si="75"/>
        <v>2369289221.5568862</v>
      </c>
      <c r="G105" s="1">
        <f t="shared" si="75"/>
        <v>1353018562.8742514</v>
      </c>
      <c r="H105" s="1">
        <f t="shared" si="75"/>
        <v>2148213173.6526947</v>
      </c>
      <c r="I105" s="1">
        <f t="shared" si="75"/>
        <v>806709580.83832359</v>
      </c>
      <c r="J105" s="1">
        <f t="shared" si="75"/>
        <v>3061947305.3892217</v>
      </c>
      <c r="K105" s="1">
        <f t="shared" si="75"/>
        <v>1671023353.2934132</v>
      </c>
      <c r="L105" s="1">
        <f t="shared" si="75"/>
        <v>2134405389.2215567</v>
      </c>
      <c r="M105" s="1">
        <f t="shared" si="75"/>
        <v>1294573652.6946106</v>
      </c>
      <c r="N105" s="1">
        <f t="shared" si="75"/>
        <v>2108537125.7485027</v>
      </c>
      <c r="O105" s="1">
        <f t="shared" si="75"/>
        <v>2508238323.3532934</v>
      </c>
      <c r="P105" s="1">
        <f t="shared" si="75"/>
        <v>3519005389.2215571</v>
      </c>
      <c r="Q105" s="1">
        <f t="shared" si="75"/>
        <v>4017545508.9820366</v>
      </c>
      <c r="R105" s="1">
        <f t="shared" si="75"/>
        <v>3977828143.712575</v>
      </c>
      <c r="S105" s="1">
        <f t="shared" si="75"/>
        <v>3343202395.2095814</v>
      </c>
      <c r="T105" s="1">
        <f t="shared" si="75"/>
        <v>2609569461.0778446</v>
      </c>
      <c r="U105" s="1">
        <f t="shared" si="75"/>
        <v>4013173652.6946106</v>
      </c>
      <c r="V105" s="1">
        <f t="shared" si="75"/>
        <v>395743712.57485008</v>
      </c>
      <c r="W105" s="1">
        <f t="shared" si="75"/>
        <v>3894667664.6706581</v>
      </c>
      <c r="X105" s="1">
        <f t="shared" si="75"/>
        <v>4066404790.4191618</v>
      </c>
      <c r="Y105" s="1">
        <f t="shared" si="75"/>
        <v>5133543712.5748501</v>
      </c>
      <c r="Z105" s="1">
        <f t="shared" si="75"/>
        <v>5123507185.6287422</v>
      </c>
      <c r="AA105" s="1">
        <f t="shared" si="75"/>
        <v>4803714371.2574854</v>
      </c>
      <c r="AB105" s="1">
        <f t="shared" si="75"/>
        <v>2481186826.3473053</v>
      </c>
      <c r="AC105" s="1">
        <f t="shared" si="75"/>
        <v>6538326347.3053894</v>
      </c>
      <c r="AD105" s="1">
        <f t="shared" si="75"/>
        <v>5864276646.7065868</v>
      </c>
      <c r="AE105" s="1">
        <f t="shared" si="75"/>
        <v>8085298802.3952103</v>
      </c>
      <c r="AF105" s="1">
        <f t="shared" si="75"/>
        <v>7963283832.33533</v>
      </c>
      <c r="AG105" s="66">
        <f>AG107/AG3</f>
        <v>9.9699924981245316E-2</v>
      </c>
      <c r="AH105" s="66">
        <f>AH107/AH3</f>
        <v>0.1009036364432636</v>
      </c>
      <c r="AI105" s="66">
        <f>AI107/AI3</f>
        <v>0.10089701885570247</v>
      </c>
      <c r="AJ105" s="66">
        <f>AJ107/AJ3</f>
        <v>9.8588336330211218E-2</v>
      </c>
      <c r="AK105" s="66">
        <f>AK107/AK3</f>
        <v>9.7878862029440933E-2</v>
      </c>
      <c r="AL105" s="67" t="s">
        <v>165</v>
      </c>
      <c r="AM105" s="72" t="s">
        <v>142</v>
      </c>
      <c r="AN105" s="72"/>
    </row>
    <row r="106" spans="1:40" ht="20" x14ac:dyDescent="0.25">
      <c r="A106" s="14" t="s">
        <v>159</v>
      </c>
      <c r="B106" s="1"/>
      <c r="C106" s="15">
        <f t="shared" ref="C106:AF106" si="76">(C107/B107)-1</f>
        <v>0.35735294117647065</v>
      </c>
      <c r="D106" s="15">
        <f t="shared" si="76"/>
        <v>6.6088840736728161E-2</v>
      </c>
      <c r="E106" s="15">
        <f t="shared" si="76"/>
        <v>-0.22662601626016265</v>
      </c>
      <c r="F106" s="15">
        <f t="shared" si="76"/>
        <v>0.18134034165571622</v>
      </c>
      <c r="G106" s="15">
        <f t="shared" si="76"/>
        <v>-0.49054505005561733</v>
      </c>
      <c r="H106" s="15">
        <f t="shared" si="76"/>
        <v>1.9126637554585151</v>
      </c>
      <c r="I106" s="15">
        <f t="shared" si="76"/>
        <v>-0.69415292353823088</v>
      </c>
      <c r="J106" s="15">
        <f t="shared" si="76"/>
        <v>2.715686274509804</v>
      </c>
      <c r="K106" s="15">
        <f t="shared" si="76"/>
        <v>-0.20448548812664913</v>
      </c>
      <c r="L106" s="15">
        <f t="shared" si="76"/>
        <v>0.34825870646766166</v>
      </c>
      <c r="M106" s="15">
        <f t="shared" si="76"/>
        <v>-0.30996309963099633</v>
      </c>
      <c r="N106" s="15">
        <f t="shared" si="76"/>
        <v>0.92067736185383242</v>
      </c>
      <c r="O106" s="15">
        <f t="shared" si="76"/>
        <v>8.0742459396751842E-2</v>
      </c>
      <c r="P106" s="15">
        <f t="shared" si="76"/>
        <v>0.24087591240875916</v>
      </c>
      <c r="Q106" s="15">
        <f t="shared" si="76"/>
        <v>0.14221453287197239</v>
      </c>
      <c r="R106" s="15">
        <f t="shared" si="76"/>
        <v>5.8770069675855741E-2</v>
      </c>
      <c r="S106" s="15">
        <f t="shared" si="76"/>
        <v>-0.33590844062947067</v>
      </c>
      <c r="T106" s="15">
        <f t="shared" si="76"/>
        <v>0.17492460146488575</v>
      </c>
      <c r="U106" s="15">
        <f t="shared" si="76"/>
        <v>0.19765309864319769</v>
      </c>
      <c r="V106" s="15">
        <f t="shared" si="76"/>
        <v>-0.81047152480097973</v>
      </c>
      <c r="W106" s="15">
        <f t="shared" si="76"/>
        <v>4.9935379644588043</v>
      </c>
      <c r="X106" s="15">
        <f t="shared" si="76"/>
        <v>-0.18571428571428572</v>
      </c>
      <c r="Y106" s="15">
        <f t="shared" si="76"/>
        <v>0.37768950678583257</v>
      </c>
      <c r="Z106" s="15">
        <f t="shared" si="76"/>
        <v>-8.6496876501681585E-3</v>
      </c>
      <c r="AA106" s="15">
        <f t="shared" si="76"/>
        <v>0.28429471643238013</v>
      </c>
      <c r="AB106" s="15">
        <f t="shared" si="76"/>
        <v>-0.64899037554255523</v>
      </c>
      <c r="AC106" s="15">
        <f t="shared" si="76"/>
        <v>2.1327956989247312</v>
      </c>
      <c r="AD106" s="15">
        <f t="shared" si="76"/>
        <v>0.10125278874206289</v>
      </c>
      <c r="AE106" s="15">
        <f t="shared" si="76"/>
        <v>0.19978182951534995</v>
      </c>
      <c r="AF106" s="15">
        <f t="shared" si="76"/>
        <v>-0.20353292635407194</v>
      </c>
      <c r="AG106" s="48">
        <f>(AG107/AF107)-1</f>
        <v>8.3659491193737834E-2</v>
      </c>
      <c r="AH106" s="48">
        <f>(AH107/AG107)-1</f>
        <v>4.0180586907449189E-2</v>
      </c>
      <c r="AI106" s="48">
        <f>(AI107/AH107)-1</f>
        <v>3.66030092592593E-2</v>
      </c>
      <c r="AJ106" s="48">
        <f>(AJ107/AI107)-1</f>
        <v>2.5401256106071246E-2</v>
      </c>
      <c r="AK106" s="48">
        <f>(AK107/AJ107)-1</f>
        <v>3.4435824145909955E-2</v>
      </c>
      <c r="AL106" s="49">
        <f>SUM(AG106:AK106)/5</f>
        <v>4.4056033522485508E-2</v>
      </c>
      <c r="AM106" s="23" t="s">
        <v>106</v>
      </c>
      <c r="AN106" s="50">
        <f>(AN101*AN93)+(AN103*AN98)</f>
        <v>6.6349965719867343E-2</v>
      </c>
    </row>
    <row r="107" spans="1:40" ht="19" x14ac:dyDescent="0.25">
      <c r="A107" s="26" t="s">
        <v>160</v>
      </c>
      <c r="B107" s="1">
        <v>680000000</v>
      </c>
      <c r="C107" s="1">
        <v>923000000</v>
      </c>
      <c r="D107" s="1">
        <v>984000000</v>
      </c>
      <c r="E107" s="1">
        <v>761000000</v>
      </c>
      <c r="F107" s="1">
        <v>899000000</v>
      </c>
      <c r="G107" s="1">
        <v>458000000</v>
      </c>
      <c r="H107" s="1">
        <v>1334000000</v>
      </c>
      <c r="I107" s="1">
        <v>408000000</v>
      </c>
      <c r="J107" s="1">
        <v>1516000000</v>
      </c>
      <c r="K107" s="1">
        <v>1206000000</v>
      </c>
      <c r="L107" s="1">
        <v>1626000000</v>
      </c>
      <c r="M107" s="1">
        <v>1122000000</v>
      </c>
      <c r="N107" s="1">
        <v>2155000000</v>
      </c>
      <c r="O107" s="1">
        <v>2329000000</v>
      </c>
      <c r="P107" s="1">
        <v>2890000000</v>
      </c>
      <c r="Q107" s="1">
        <v>3301000000</v>
      </c>
      <c r="R107" s="1">
        <v>3495000000</v>
      </c>
      <c r="S107" s="1">
        <v>2321000000</v>
      </c>
      <c r="T107" s="1">
        <v>2727000000</v>
      </c>
      <c r="U107" s="1">
        <v>3266000000</v>
      </c>
      <c r="V107" s="1">
        <v>619000000</v>
      </c>
      <c r="W107" s="1">
        <v>3710000000</v>
      </c>
      <c r="X107" s="1">
        <v>3021000000</v>
      </c>
      <c r="Y107" s="1">
        <v>4162000000</v>
      </c>
      <c r="Z107" s="1">
        <v>4126000000</v>
      </c>
      <c r="AA107" s="1">
        <v>5299000000</v>
      </c>
      <c r="AB107" s="1">
        <v>1860000000</v>
      </c>
      <c r="AC107" s="1">
        <v>5827000000</v>
      </c>
      <c r="AD107" s="1">
        <v>6417000000</v>
      </c>
      <c r="AE107" s="1">
        <v>7699000000</v>
      </c>
      <c r="AF107" s="1">
        <v>6132000000</v>
      </c>
      <c r="AG107" s="51">
        <v>6645000000</v>
      </c>
      <c r="AH107" s="51">
        <v>6912000000</v>
      </c>
      <c r="AI107" s="51">
        <v>7165000000</v>
      </c>
      <c r="AJ107" s="51">
        <v>7347000000</v>
      </c>
      <c r="AK107" s="51">
        <v>7600000000</v>
      </c>
      <c r="AL107" s="47" t="s">
        <v>161</v>
      </c>
      <c r="AM107" s="52" t="s">
        <v>143</v>
      </c>
      <c r="AN107" s="24">
        <f>(SUM(AG4:AK4)/5)</f>
        <v>3.317674193559448E-2</v>
      </c>
    </row>
    <row r="108" spans="1:40" ht="19" x14ac:dyDescent="0.2">
      <c r="AG108" s="68"/>
      <c r="AH108" s="68"/>
      <c r="AI108" s="68"/>
      <c r="AJ108" s="68"/>
      <c r="AK108" s="53">
        <f>AK107*(1+AN108)/(AN109-AN108)</f>
        <v>167249314634.92325</v>
      </c>
      <c r="AL108" s="54" t="s">
        <v>144</v>
      </c>
      <c r="AM108" s="55" t="s">
        <v>145</v>
      </c>
      <c r="AN108" s="25">
        <v>0.02</v>
      </c>
    </row>
    <row r="109" spans="1:40" ht="19" x14ac:dyDescent="0.2">
      <c r="AG109" s="53">
        <f t="shared" ref="AG109:AJ109" si="77">AG108+AG107</f>
        <v>6645000000</v>
      </c>
      <c r="AH109" s="53">
        <f t="shared" si="77"/>
        <v>6912000000</v>
      </c>
      <c r="AI109" s="53">
        <f t="shared" si="77"/>
        <v>7165000000</v>
      </c>
      <c r="AJ109" s="53">
        <f t="shared" si="77"/>
        <v>7347000000</v>
      </c>
      <c r="AK109" s="53">
        <f>AK108+AK107</f>
        <v>174849314634.92325</v>
      </c>
      <c r="AL109" s="54" t="s">
        <v>141</v>
      </c>
      <c r="AM109" s="56" t="s">
        <v>146</v>
      </c>
      <c r="AN109" s="24">
        <f>AN106</f>
        <v>6.6349965719867343E-2</v>
      </c>
    </row>
    <row r="110" spans="1:40" ht="19" x14ac:dyDescent="0.2">
      <c r="AG110" s="71" t="s">
        <v>147</v>
      </c>
      <c r="AH110" s="71"/>
      <c r="AI110" s="39"/>
      <c r="AJ110" s="39"/>
      <c r="AK110" s="39"/>
      <c r="AL110" s="39"/>
      <c r="AM110" s="39"/>
      <c r="AN110" s="39"/>
    </row>
    <row r="111" spans="1:40" ht="20" x14ac:dyDescent="0.2">
      <c r="AG111" s="57" t="s">
        <v>148</v>
      </c>
      <c r="AH111" s="45">
        <f>NPV(AN109,AG109,AH109,AI109,AJ109,AK109)</f>
        <v>150714711811.60019</v>
      </c>
      <c r="AI111" s="39"/>
      <c r="AJ111" s="39"/>
      <c r="AK111" s="39"/>
      <c r="AL111" s="39"/>
      <c r="AM111" s="39"/>
      <c r="AN111" s="39"/>
    </row>
    <row r="112" spans="1:40" ht="20" x14ac:dyDescent="0.2">
      <c r="AG112" s="57" t="s">
        <v>149</v>
      </c>
      <c r="AH112" s="45">
        <f>AF40</f>
        <v>2547000000</v>
      </c>
      <c r="AI112" s="39"/>
      <c r="AJ112" s="39"/>
      <c r="AK112" s="39"/>
      <c r="AL112" s="39"/>
      <c r="AM112" s="39"/>
      <c r="AN112" s="39"/>
    </row>
    <row r="113" spans="33:40" ht="20" x14ac:dyDescent="0.2">
      <c r="AG113" s="57" t="s">
        <v>137</v>
      </c>
      <c r="AH113" s="45">
        <f>AN100</f>
        <v>15429000000</v>
      </c>
      <c r="AI113" s="39"/>
      <c r="AJ113" s="39"/>
      <c r="AK113" s="39"/>
      <c r="AL113" s="39"/>
      <c r="AM113" s="39"/>
      <c r="AN113" s="39"/>
    </row>
    <row r="114" spans="33:40" ht="20" x14ac:dyDescent="0.2">
      <c r="AG114" s="57" t="s">
        <v>150</v>
      </c>
      <c r="AH114" s="45">
        <f>AH111+AH112-AH113</f>
        <v>137832711811.60019</v>
      </c>
      <c r="AI114" s="39"/>
      <c r="AJ114" s="39"/>
      <c r="AK114" s="39"/>
      <c r="AL114" s="39"/>
      <c r="AM114" s="39"/>
      <c r="AN114" s="39"/>
    </row>
    <row r="115" spans="33:40" ht="20" x14ac:dyDescent="0.2">
      <c r="AG115" s="57" t="s">
        <v>151</v>
      </c>
      <c r="AH115" s="57">
        <f>AF34*(1+(5*AL16))</f>
        <v>264580918.94763336</v>
      </c>
      <c r="AI115" s="39"/>
      <c r="AJ115" s="39"/>
      <c r="AK115" s="39"/>
      <c r="AL115" s="39"/>
      <c r="AM115" s="39"/>
      <c r="AN115" s="39"/>
    </row>
    <row r="116" spans="33:40" ht="20" x14ac:dyDescent="0.2">
      <c r="AG116" s="58" t="s">
        <v>152</v>
      </c>
      <c r="AH116" s="59">
        <f>AH114/AH115</f>
        <v>520.94728659885129</v>
      </c>
      <c r="AI116" s="39"/>
      <c r="AJ116" s="39"/>
      <c r="AK116" s="39"/>
      <c r="AL116" s="39"/>
      <c r="AM116" s="39"/>
      <c r="AN116" s="39"/>
    </row>
    <row r="117" spans="33:40" ht="20" x14ac:dyDescent="0.2">
      <c r="AG117" s="57" t="s">
        <v>153</v>
      </c>
      <c r="AH117" s="60" cm="1">
        <f t="array" ref="AH117">_FV(A1,"Price")</f>
        <v>449.18</v>
      </c>
      <c r="AI117" s="39"/>
      <c r="AJ117" s="39"/>
      <c r="AK117" s="39"/>
      <c r="AL117" s="39"/>
      <c r="AM117" s="39"/>
      <c r="AN117" s="39"/>
    </row>
    <row r="118" spans="33:40" ht="20" x14ac:dyDescent="0.2">
      <c r="AG118" s="58" t="s">
        <v>154</v>
      </c>
      <c r="AH118" s="61">
        <f>AH116/AH117-1</f>
        <v>0.15977400284707977</v>
      </c>
      <c r="AI118" s="39"/>
      <c r="AJ118" s="39"/>
      <c r="AK118" s="39"/>
      <c r="AL118" s="39"/>
      <c r="AM118" s="39"/>
      <c r="AN118" s="39"/>
    </row>
    <row r="119" spans="33:40" ht="20" x14ac:dyDescent="0.2">
      <c r="AG119" s="58" t="s">
        <v>155</v>
      </c>
      <c r="AH119" s="62" t="str">
        <f>IF(AH116&gt;AH117,"BUY","SELL")</f>
        <v>BUY</v>
      </c>
      <c r="AI119" s="39"/>
      <c r="AJ119" s="39"/>
      <c r="AK119" s="39"/>
      <c r="AL119" s="39"/>
      <c r="AM119" s="39"/>
      <c r="AN119" s="39"/>
    </row>
  </sheetData>
  <mergeCells count="7">
    <mergeCell ref="AM84:AN84"/>
    <mergeCell ref="AG110:AH110"/>
    <mergeCell ref="AM105:AN105"/>
    <mergeCell ref="AM99:AN99"/>
    <mergeCell ref="AM85:AN85"/>
    <mergeCell ref="AM94:AN94"/>
    <mergeCell ref="AG104:AK104"/>
  </mergeCells>
  <conditionalFormatting sqref="AH119">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 ref="AL107" r:id="rId65" xr:uid="{87ACC1A8-2470-5F46-A811-B65357141DE6}"/>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2023-01-31T18:46:11Z</dcterms:created>
  <dcterms:modified xsi:type="dcterms:W3CDTF">2023-10-20T04:27:46Z</dcterms:modified>
</cp:coreProperties>
</file>