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EE1DF5E0-3D5A-C942-B9A6-722B953A009D}"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C3" i="2"/>
  <c r="G7" i="2" l="1"/>
  <c r="G6" i="2"/>
  <c r="G5" i="2"/>
  <c r="E7" i="2"/>
  <c r="E6" i="2"/>
  <c r="C6" i="2"/>
  <c r="C5" i="2"/>
  <c r="C4" i="2"/>
  <c r="A4" i="2"/>
  <c r="O5" i="2"/>
  <c r="O6" i="2"/>
  <c r="O19" i="2" s="1"/>
  <c r="O7" i="2"/>
  <c r="O8" i="2" s="1"/>
  <c r="O9" i="2"/>
  <c r="O10" i="2"/>
  <c r="O15" i="2" a="1"/>
  <c r="O15" i="2" s="1"/>
  <c r="O20" i="2" a="1"/>
  <c r="O20" i="2" s="1"/>
  <c r="J15" i="2"/>
  <c r="I15" i="2"/>
  <c r="H15" i="2"/>
  <c r="G15" i="2"/>
  <c r="F15" i="2"/>
  <c r="E15" i="2"/>
  <c r="D15" i="2"/>
  <c r="C15" i="2"/>
  <c r="O14" i="2"/>
  <c r="J13" i="2"/>
  <c r="I13" i="2"/>
  <c r="H13" i="2"/>
  <c r="G13" i="2"/>
  <c r="F13" i="2"/>
  <c r="E13" i="2"/>
  <c r="D13" i="2"/>
  <c r="C13" i="2"/>
  <c r="J11" i="2"/>
  <c r="I11" i="2"/>
  <c r="H11" i="2"/>
  <c r="G11" i="2"/>
  <c r="F11" i="2"/>
  <c r="E11" i="2"/>
  <c r="D11" i="2"/>
  <c r="C11" i="2"/>
  <c r="A5" i="2" a="1"/>
  <c r="A5" i="2" s="1"/>
  <c r="K5" i="2" a="1"/>
  <c r="K5"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O17" i="2" l="1"/>
  <c r="G4" i="2"/>
  <c r="K15" i="2"/>
  <c r="K13" i="2"/>
  <c r="K11" i="2"/>
  <c r="O11" i="2"/>
  <c r="O12" i="2" s="1"/>
  <c r="E5" i="2"/>
  <c r="E4" i="2"/>
  <c r="E3" i="2"/>
  <c r="O21" i="2"/>
  <c r="C7" i="2" s="1"/>
  <c r="A7" i="2"/>
  <c r="A6" i="2"/>
  <c r="O23" i="2" l="1"/>
  <c r="O22" i="2"/>
  <c r="N25" i="2" l="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<sst xmlns="http://schemas.openxmlformats.org/spreadsheetml/2006/main" count="1573" uniqueCount="249">
  <si>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</si>
  <si>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</si>
  <si>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</si>
  <si>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</si>
  <si>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</si>
  <si>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</si>
  <si>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</si>
  <si>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</si>
  <si>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</si>
  <si>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</si>
  <si>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</si>
  <si>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</si>
  <si>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</si>
  <si>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</si>
  <si>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</si>
  <si>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</si>
  <si>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</si>
  <si>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</si>
  <si>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</si>
  <si>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</si>
  <si>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</si>
  <si>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</si>
  <si>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</si>
  <si>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</si>
  <si>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</si>
  <si>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</si>
  <si>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</si>
  <si>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</si>
  <si>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</si>
  <si>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</si>
  <si>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</si>
  <si>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</si>
  <si>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</si>
  <si>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</si>
  <si>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</si>
  <si>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</si>
  <si>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</si>
  <si>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</si>
  <si>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</si>
  <si>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</si>
  <si>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</si>
  <si>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</si>
  <si>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</si>
  <si>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</si>
  <si>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</si>
  <si>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</si>
  <si>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</si>
  <si>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</si>
  <si>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</si>
  <si>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</si>
  <si>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</si>
  <si>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</si>
  <si>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</si>
  <si>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</si>
  <si>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</si>
  <si>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</si>
  <si>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</si>
  <si>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</si>
  <si>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</si>
  <si>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</si>
  <si>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</si>
  <si>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</si>
  <si>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</si>
  <si>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</si>
  <si>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</si>
  <si>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</si>
  <si>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</si>
  <si>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</si>
  <si>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</si>
  <si>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</si>
  <si>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</si>
  <si>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</si>
  <si>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</si>
  <si>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</si>
  <si>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</si>
  <si>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</si>
  <si>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</si>
  <si>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</si>
  <si>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</si>
  <si>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</si>
  <si>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</si>
  <si>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</si>
  <si>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</si>
  <si>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</si>
  <si>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</si>
  <si>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</si>
  <si>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</si>
  <si>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</si>
  <si>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</si>
  <si>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</si>
  <si>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</si>
  <si>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</si>
  <si>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</si>
  <si>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</si>
  <si>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</si>
  <si>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</si>
  <si>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</si>
  <si>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</si>
  <si>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</si>
  <si>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</si>
  <si>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</si>
  <si>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</si>
  <si>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</si>
  <si>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</si>
  <si>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</si>
  <si>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</si>
  <si>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</si>
  <si>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</si>
  <si>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</si>
  <si>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</si>
  <si>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</si>
  <si>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</si>
  <si>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</si>
  <si>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</si>
  <si>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</si>
  <si>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</si>
  <si>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</si>
  <si>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</si>
  <si>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</si>
  <si>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</si>
  <si>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</si>
  <si>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</si>
  <si>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</si>
  <si>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</si>
  <si>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</si>
  <si>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</si>
  <si>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</si>
  <si>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</si>
  <si>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</si>
  <si>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</si>
  <si>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</si>
  <si>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</si>
  <si>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</si>
  <si>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</si>
  <si>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</si>
  <si>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</si>
  <si>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</si>
  <si>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</si>
  <si>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</si>
  <si>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</si>
  <si>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</si>
  <si>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</si>
  <si>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</si>
  <si>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</si>
  <si>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</si>
  <si>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</si>
  <si>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</si>
  <si>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</si>
  <si>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</si>
  <si>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</si>
  <si>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</si>
  <si>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</si>
  <si>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</si>
  <si>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</si>
  <si>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</si>
  <si>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</si>
  <si>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</si>
  <si>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</si>
  <si>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</si>
  <si>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</si>
  <si>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</si>
  <si>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</si>
  <si>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</si>
  <si>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</si>
  <si>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</si>
  <si>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</si>
  <si>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</si>
  <si>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</si>
  <si>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</si>
  <si>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</si>
  <si>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</si>
  <si>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</si>
  <si>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</si>
  <si>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</si>
  <si>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</si>
  <si>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</si>
  <si>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</si>
  <si>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</si>
  <si>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</si>
  <si>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</si>
  <si>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</si>
  <si>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</si>
  <si>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</si>
  <si>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</si>
  <si>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</si>
  <si>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</si>
  <si>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</si>
  <si>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</si>
  <si>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</si>
  <si>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</si>
  <si>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</si>
  <si>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</si>
  <si>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</si>
  <si>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</si>
  <si>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</si>
  <si>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</si>
  <si>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</si>
  <si>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</si>
  <si>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</si>
  <si>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</si>
  <si>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</si>
  <si>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Gross Margin</t>
  </si>
  <si>
    <t>3Y Rev CAGR</t>
  </si>
  <si>
    <t>Perpetual Growth Rate</t>
  </si>
  <si>
    <t>Terminal Value</t>
  </si>
  <si>
    <t>Market Price</t>
  </si>
  <si>
    <t>Weighted Average Cost of Capital</t>
  </si>
  <si>
    <t>Net Cash</t>
  </si>
  <si>
    <t>Operating Margin</t>
  </si>
  <si>
    <t>3Y Income CAGR</t>
  </si>
  <si>
    <t>Discount Rate</t>
  </si>
  <si>
    <t>Enterprise Value</t>
  </si>
  <si>
    <t>Intrinsic Value</t>
  </si>
  <si>
    <t>Cost of Debt</t>
  </si>
  <si>
    <t>Net Income Margin</t>
  </si>
  <si>
    <t>3Y FCF CAGR</t>
  </si>
  <si>
    <t>Cash + Securities</t>
  </si>
  <si>
    <t>Equity Value</t>
  </si>
  <si>
    <t>Upside / Downside</t>
  </si>
  <si>
    <t>Interest Expense</t>
  </si>
  <si>
    <t>Fwd P/S</t>
  </si>
  <si>
    <t>ROE</t>
  </si>
  <si>
    <t>Total Debt</t>
  </si>
  <si>
    <t>Short Term Debt</t>
  </si>
  <si>
    <t>Forward P/E</t>
  </si>
  <si>
    <t>Debt to Equity</t>
  </si>
  <si>
    <t>Projected Shares</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</si>
  <si>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</si>
  <si>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</si>
  <si>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</si>
  <si>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</si>
  <si>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</si>
  <si>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</si>
  <si>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</si>
  <si>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</si>
  <si>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</si>
  <si>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</si>
  <si>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</si>
  <si>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</si>
  <si>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</si>
  <si>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</si>
  <si>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Market Cap</t>
  </si>
  <si>
    <t>Debt + Market Cap</t>
  </si>
  <si>
    <t>Weight of Debt</t>
  </si>
  <si>
    <t>Weight of Equity</t>
  </si>
  <si>
    <t>WACC</t>
  </si>
  <si>
    <t>Total Shares</t>
  </si>
  <si>
    <t>YoY Share Dilution</t>
  </si>
  <si>
    <t>Fwd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</si>
</sst>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0.0"/>
    <numFmt numFmtId="167" formatCode="&quot;$&quot;#,##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i/>
      <sz val="12"/>
      <name val="Arial"/>
      <family val="2"/>
    </font>
    <font>
      <sz val="11"/>
      <name val="Arial"/>
      <family val="2"/>
    </font>
    <font>
      <sz val="10"/>
      <name val="Arial"/>
      <family val="2"/>
    </font>
    <font>
      <sz val="11"/>
      <color rgb="FF000000"/>
      <name val="Arial"/>
      <family val="2"/>
    </font>
    <font>
      <b/>
      <sz val="11"/>
      <color rgb="FF000000"/>
      <name val="Arial"/>
      <family val="2"/>
    </font>
    <font>
      <b/>
      <sz val="11"/>
      <name val="Arial"/>
      <family val="2"/>
    </font>
    <font>
      <b/>
      <sz val="14"/>
      <name val="Arial"/>
      <family val="2"/>
    </font>
    <font>
      <b/>
      <sz val="13"/>
      <name val="Arial"/>
      <family val="2"/>
    </font>
    <font>
      <b/>
      <i/>
      <u/>
      <sz val="13"/>
      <name val="Arial"/>
      <family val="2"/>
    </font>
    <font>
      <b/>
      <i/>
      <sz val="13"/>
      <name val="Arial"/>
      <family val="2"/>
    </font>
    <font>
      <sz val="13"/>
      <name val="Arial"/>
      <family val="2"/>
    </font>
    <font>
      <sz val="13"/>
      <name val="Calibri"/>
      <family val="2"/>
    </font>
    <font>
      <sz val="11.5"/>
      <color rgb="FF000000"/>
      <name val="Arial"/>
      <family val="2"/>
    </font>
    <font>
      <b/>
      <sz val="11.5"/>
      <color rgb="FF000000"/>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0"/>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4" fillId="0" borderId="3" xfId="0" applyFont="1" applyBorder="1"/>
    <xf numFmtId="4" fontId="14" fillId="0" borderId="3" xfId="0" applyNumberFormat="1" applyFont="1" applyBorder="1"/>
    <xf numFmtId="4" fontId="14" fillId="5" borderId="3" xfId="0" applyNumberFormat="1" applyFont="1" applyFill="1" applyBorder="1"/>
    <xf numFmtId="3" fontId="14" fillId="0" borderId="3" xfId="0" applyNumberFormat="1" applyFont="1" applyBorder="1"/>
    <xf numFmtId="0" fontId="3" fillId="0" borderId="0" xfId="0" applyFont="1"/>
    <xf numFmtId="3" fontId="4" fillId="0" borderId="0" xfId="0" applyNumberFormat="1" applyFont="1"/>
    <xf numFmtId="3" fontId="4" fillId="5" borderId="0" xfId="0" applyNumberFormat="1" applyFont="1" applyFill="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4" fillId="0" borderId="0" xfId="0" applyFont="1"/>
    <xf numFmtId="4" fontId="14" fillId="0" borderId="0" xfId="0" applyNumberFormat="1" applyFont="1"/>
    <xf numFmtId="3" fontId="14" fillId="0" borderId="0" xfId="0" applyNumberFormat="1" applyFont="1"/>
    <xf numFmtId="4" fontId="14" fillId="5" borderId="0" xfId="0" applyNumberFormat="1" applyFont="1" applyFill="1"/>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3" fillId="0" borderId="3" xfId="0" applyFont="1" applyBorder="1"/>
    <xf numFmtId="3" fontId="4" fillId="0" borderId="3" xfId="0" applyNumberFormat="1" applyFont="1" applyBorder="1"/>
    <xf numFmtId="3" fontId="4" fillId="5" borderId="3" xfId="0" applyNumberFormat="1" applyFont="1" applyFill="1" applyBorder="1"/>
    <xf numFmtId="3" fontId="3" fillId="0" borderId="3" xfId="0" applyNumberFormat="1" applyFont="1" applyBorder="1"/>
    <xf numFmtId="3" fontId="3" fillId="5" borderId="3" xfId="0" applyNumberFormat="1" applyFont="1" applyFill="1" applyBorder="1"/>
    <xf numFmtId="0" fontId="4" fillId="0" borderId="3" xfId="0" applyFont="1" applyBorder="1"/>
    <xf numFmtId="3" fontId="5" fillId="0" borderId="3" xfId="0" applyNumberFormat="1" applyFont="1" applyBorder="1"/>
    <xf numFmtId="3" fontId="6" fillId="4"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0" fontId="2" fillId="2" borderId="0" xfId="0" applyFont="1" applyFill="1" applyAlignment="1">
      <alignment horizontal="left" indent="1"/>
    </xf>
    <xf numFmtId="164" fontId="4" fillId="9" borderId="2" xfId="0" applyNumberFormat="1" applyFont="1" applyFill="1" applyBorder="1" applyAlignment="1">
      <alignment horizontal="right" vertical="center" indent="1"/>
    </xf>
    <xf numFmtId="9" fontId="15" fillId="10" borderId="5" xfId="1" applyFont="1" applyFill="1" applyBorder="1" applyAlignment="1">
      <alignment horizontal="left" vertical="center"/>
    </xf>
    <xf numFmtId="165" fontId="4" fillId="9" borderId="6" xfId="1" applyNumberFormat="1" applyFont="1" applyFill="1" applyBorder="1" applyAlignment="1">
      <alignment horizontal="right" vertical="center" indent="1"/>
    </xf>
    <xf numFmtId="9" fontId="4" fillId="9" borderId="6" xfId="1" applyFont="1" applyFill="1" applyBorder="1" applyAlignment="1">
      <alignment horizontal="right" vertical="center" indent="1"/>
    </xf>
    <xf numFmtId="0" fontId="15" fillId="10" borderId="5" xfId="1" applyNumberFormat="1" applyFont="1" applyFill="1" applyBorder="1" applyAlignment="1">
      <alignment horizontal="left" vertical="center"/>
    </xf>
    <xf numFmtId="164" fontId="4" fillId="9" borderId="6" xfId="0" applyNumberFormat="1" applyFont="1" applyFill="1" applyBorder="1" applyAlignment="1">
      <alignment horizontal="right" vertical="center" indent="1"/>
    </xf>
    <xf numFmtId="0" fontId="1" fillId="12" borderId="1" xfId="0" applyFont="1" applyFill="1" applyBorder="1"/>
    <xf numFmtId="164" fontId="4" fillId="9" borderId="0" xfId="0" applyNumberFormat="1" applyFont="1" applyFill="1" applyAlignment="1">
      <alignment horizontal="right" vertical="center" indent="1"/>
    </xf>
    <xf numFmtId="9" fontId="15" fillId="10" borderId="9" xfId="1" applyFont="1" applyFill="1" applyBorder="1" applyAlignment="1">
      <alignment horizontal="left" vertical="center"/>
    </xf>
    <xf numFmtId="165" fontId="4" fillId="9" borderId="10" xfId="1" applyNumberFormat="1" applyFont="1" applyFill="1" applyBorder="1" applyAlignment="1">
      <alignment horizontal="right" vertical="center" indent="1"/>
    </xf>
    <xf numFmtId="9" fontId="4" fillId="9" borderId="10" xfId="1" applyFont="1" applyFill="1" applyBorder="1" applyAlignment="1">
      <alignment horizontal="right" vertical="center" indent="1"/>
    </xf>
    <xf numFmtId="0" fontId="15" fillId="10" borderId="9" xfId="1" applyNumberFormat="1" applyFont="1" applyFill="1" applyBorder="1" applyAlignment="1">
      <alignment horizontal="left" vertical="center"/>
    </xf>
    <xf numFmtId="164" fontId="4" fillId="9" borderId="10" xfId="0" applyNumberFormat="1" applyFont="1" applyFill="1" applyBorder="1" applyAlignment="1">
      <alignment horizontal="right" vertical="center" indent="1"/>
    </xf>
    <xf numFmtId="9" fontId="3" fillId="13" borderId="11" xfId="1" applyFont="1" applyFill="1" applyBorder="1" applyAlignment="1">
      <alignment horizontal="left" vertical="center" indent="12"/>
    </xf>
    <xf numFmtId="166" fontId="4" fillId="9" borderId="0" xfId="0" applyNumberFormat="1" applyFont="1" applyFill="1" applyAlignment="1">
      <alignment horizontal="right" vertical="center" indent="1"/>
    </xf>
    <xf numFmtId="9" fontId="15" fillId="10" borderId="1" xfId="1" applyFont="1" applyFill="1" applyBorder="1" applyAlignment="1">
      <alignment horizontal="left" vertical="center"/>
    </xf>
    <xf numFmtId="164" fontId="4" fillId="9" borderId="1" xfId="0" applyNumberFormat="1" applyFont="1" applyFill="1" applyBorder="1" applyAlignment="1">
      <alignment horizontal="right" vertical="center" indent="1"/>
    </xf>
    <xf numFmtId="166" fontId="4" fillId="9" borderId="4" xfId="0" applyNumberFormat="1" applyFont="1" applyFill="1" applyBorder="1" applyAlignment="1">
      <alignment horizontal="right" vertical="center" indent="1"/>
    </xf>
    <xf numFmtId="9" fontId="15" fillId="10" borderId="4" xfId="1" applyFont="1" applyFill="1" applyBorder="1" applyAlignment="1">
      <alignment horizontal="left" vertical="center"/>
    </xf>
    <xf numFmtId="165" fontId="4" fillId="9" borderId="11" xfId="1" applyNumberFormat="1" applyFont="1" applyFill="1" applyBorder="1" applyAlignment="1">
      <alignment horizontal="right" vertical="center" indent="1"/>
    </xf>
    <xf numFmtId="9" fontId="15" fillId="10" borderId="12" xfId="1" applyFont="1" applyFill="1" applyBorder="1" applyAlignment="1">
      <alignment horizontal="left" vertical="center"/>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5" fillId="10" borderId="4" xfId="1" applyNumberFormat="1" applyFont="1" applyFill="1" applyBorder="1" applyAlignment="1">
      <alignment horizontal="left" vertical="center"/>
    </xf>
    <xf numFmtId="9" fontId="4" fillId="12" borderId="1" xfId="1" applyFont="1" applyFill="1" applyBorder="1" applyAlignment="1">
      <alignment horizontal="left" indent="1"/>
    </xf>
    <xf numFmtId="0" fontId="3" fillId="9" borderId="0" xfId="0" applyFont="1" applyFill="1" applyAlignment="1">
      <alignment horizontal="right" vertical="center"/>
    </xf>
    <xf numFmtId="0" fontId="15" fillId="12" borderId="1" xfId="0" applyFont="1" applyFill="1" applyBorder="1" applyAlignment="1">
      <alignment horizontal="right" vertical="center"/>
    </xf>
    <xf numFmtId="0" fontId="1" fillId="12" borderId="1" xfId="0" applyFont="1" applyFill="1" applyBorder="1" applyAlignment="1">
      <alignment vertical="center"/>
    </xf>
    <xf numFmtId="164" fontId="4" fillId="10" borderId="0" xfId="0" applyNumberFormat="1" applyFont="1" applyFill="1" applyAlignment="1">
      <alignment vertical="center"/>
    </xf>
    <xf numFmtId="164" fontId="4" fillId="10" borderId="13" xfId="0" applyNumberFormat="1" applyFont="1" applyFill="1" applyBorder="1" applyAlignment="1">
      <alignment vertical="center"/>
    </xf>
    <xf numFmtId="9" fontId="4" fillId="14" borderId="1" xfId="1" applyFont="1" applyFill="1" applyBorder="1" applyAlignment="1">
      <alignment vertical="center"/>
    </xf>
    <xf numFmtId="9" fontId="4" fillId="14" borderId="13" xfId="1" applyFont="1" applyFill="1" applyBorder="1" applyAlignment="1">
      <alignment vertical="center"/>
    </xf>
    <xf numFmtId="9" fontId="4" fillId="10" borderId="13" xfId="1" applyFont="1" applyFill="1" applyBorder="1" applyAlignment="1">
      <alignment vertical="center"/>
    </xf>
    <xf numFmtId="9" fontId="4" fillId="10" borderId="0" xfId="1" applyFont="1" applyFill="1" applyAlignment="1">
      <alignment vertical="center"/>
    </xf>
    <xf numFmtId="9" fontId="4" fillId="10" borderId="1" xfId="1" applyFont="1" applyFill="1" applyBorder="1" applyAlignment="1">
      <alignment vertical="center"/>
    </xf>
    <xf numFmtId="0" fontId="17" fillId="14" borderId="6" xfId="0" applyFont="1" applyFill="1" applyBorder="1" applyAlignment="1">
      <alignment horizontal="left" vertical="center" wrapText="1"/>
    </xf>
    <xf numFmtId="0" fontId="17" fillId="14" borderId="10" xfId="0" applyFont="1" applyFill="1" applyBorder="1" applyAlignment="1">
      <alignment horizontal="left" vertical="center" wrapText="1"/>
    </xf>
    <xf numFmtId="0" fontId="18" fillId="14" borderId="10" xfId="0" applyFont="1" applyFill="1" applyBorder="1" applyAlignment="1">
      <alignment horizontal="left" vertical="center" wrapText="1"/>
    </xf>
    <xf numFmtId="0" fontId="17" fillId="14" borderId="11" xfId="0" applyFont="1" applyFill="1" applyBorder="1" applyAlignment="1">
      <alignment horizontal="left" vertical="center" wrapText="1"/>
    </xf>
    <xf numFmtId="9" fontId="4" fillId="9" borderId="1" xfId="1" applyFont="1" applyFill="1" applyBorder="1" applyAlignment="1">
      <alignment horizontal="right" vertical="center" indent="1"/>
    </xf>
    <xf numFmtId="165" fontId="4" fillId="11" borderId="11" xfId="1" applyNumberFormat="1" applyFont="1" applyFill="1" applyBorder="1" applyAlignment="1">
      <alignment horizontal="right" vertical="center" indent="1"/>
    </xf>
    <xf numFmtId="0" fontId="0" fillId="14" borderId="0" xfId="0" applyFill="1"/>
    <xf numFmtId="0" fontId="15" fillId="10" borderId="1" xfId="1" applyNumberFormat="1" applyFont="1" applyFill="1" applyBorder="1" applyAlignment="1">
      <alignment horizontal="left" vertical="center"/>
    </xf>
    <xf numFmtId="0" fontId="0" fillId="14" borderId="1" xfId="0" applyFill="1" applyBorder="1"/>
    <xf numFmtId="0" fontId="18" fillId="14" borderId="11" xfId="0" applyFont="1" applyFill="1" applyBorder="1" applyAlignment="1">
      <alignment horizontal="left" vertical="center" wrapText="1"/>
    </xf>
    <xf numFmtId="0" fontId="21" fillId="9" borderId="0" xfId="0" applyFont="1" applyFill="1" applyAlignment="1">
      <alignment horizontal="right" vertical="center"/>
    </xf>
    <xf numFmtId="0" fontId="22" fillId="11" borderId="0" xfId="0" applyFont="1" applyFill="1" applyAlignment="1">
      <alignment horizontal="right" vertical="center"/>
    </xf>
    <xf numFmtId="0" fontId="23" fillId="11" borderId="0" xfId="0" applyFont="1" applyFill="1" applyAlignment="1">
      <alignment horizontal="right" vertical="center"/>
    </xf>
    <xf numFmtId="9" fontId="15" fillId="10" borderId="5" xfId="1" applyFont="1" applyFill="1" applyBorder="1" applyAlignment="1">
      <alignment horizontal="left" vertical="center" indent="1"/>
    </xf>
    <xf numFmtId="9" fontId="19" fillId="10" borderId="9" xfId="1" applyFont="1" applyFill="1" applyBorder="1" applyAlignment="1">
      <alignment horizontal="left" vertical="center" indent="1"/>
    </xf>
    <xf numFmtId="9" fontId="19" fillId="10" borderId="12" xfId="1" applyFont="1" applyFill="1" applyBorder="1" applyAlignment="1">
      <alignment horizontal="left" vertical="center" indent="1"/>
    </xf>
    <xf numFmtId="167" fontId="4" fillId="9" borderId="2" xfId="0" applyNumberFormat="1" applyFont="1" applyFill="1" applyBorder="1" applyAlignment="1">
      <alignment horizontal="right" vertical="center" indent="1"/>
    </xf>
    <xf numFmtId="9" fontId="16" fillId="10" borderId="4" xfId="1" applyFont="1" applyFill="1" applyBorder="1" applyAlignment="1">
      <alignment horizontal="left" vertical="center"/>
    </xf>
    <xf numFmtId="167" fontId="3" fillId="13" borderId="1" xfId="0" applyNumberFormat="1" applyFont="1" applyFill="1" applyBorder="1" applyAlignment="1">
      <alignment horizontal="right" vertical="center" indent="1"/>
    </xf>
    <xf numFmtId="164" fontId="15" fillId="10" borderId="13" xfId="0" applyNumberFormat="1" applyFont="1" applyFill="1" applyBorder="1" applyAlignment="1">
      <alignment horizontal="right" vertical="center"/>
    </xf>
    <xf numFmtId="164" fontId="26" fillId="14" borderId="5" xfId="0" applyNumberFormat="1" applyFont="1" applyFill="1" applyBorder="1" applyAlignment="1">
      <alignment vertical="center"/>
    </xf>
    <xf numFmtId="164" fontId="26" fillId="14" borderId="9" xfId="0" applyNumberFormat="1" applyFont="1" applyFill="1" applyBorder="1" applyAlignment="1">
      <alignment vertical="center"/>
    </xf>
    <xf numFmtId="10" fontId="27" fillId="14" borderId="9" xfId="0" applyNumberFormat="1" applyFont="1" applyFill="1" applyBorder="1" applyAlignment="1">
      <alignment vertical="center"/>
    </xf>
    <xf numFmtId="10" fontId="26" fillId="14" borderId="9" xfId="0" applyNumberFormat="1" applyFont="1" applyFill="1" applyBorder="1" applyAlignment="1">
      <alignment vertical="center"/>
    </xf>
    <xf numFmtId="10" fontId="26" fillId="14" borderId="12" xfId="0" applyNumberFormat="1" applyFont="1" applyFill="1" applyBorder="1" applyAlignment="1">
      <alignment vertical="center"/>
    </xf>
    <xf numFmtId="2" fontId="26" fillId="14" borderId="9" xfId="0" applyNumberFormat="1" applyFont="1" applyFill="1" applyBorder="1" applyAlignment="1">
      <alignment vertical="center"/>
    </xf>
    <xf numFmtId="10" fontId="27" fillId="14" borderId="12" xfId="0" applyNumberFormat="1" applyFont="1" applyFill="1" applyBorder="1" applyAlignment="1">
      <alignment vertical="center"/>
    </xf>
    <xf numFmtId="164" fontId="26" fillId="14" borderId="9" xfId="0" applyNumberFormat="1" applyFont="1" applyFill="1" applyBorder="1" applyAlignment="1">
      <alignment horizontal="right" vertical="center"/>
    </xf>
    <xf numFmtId="10" fontId="27" fillId="14" borderId="9" xfId="0" applyNumberFormat="1" applyFont="1" applyFill="1" applyBorder="1" applyAlignment="1">
      <alignment horizontal="right" vertical="center"/>
    </xf>
    <xf numFmtId="10" fontId="27" fillId="14" borderId="12" xfId="0" applyNumberFormat="1" applyFont="1" applyFill="1" applyBorder="1" applyAlignment="1">
      <alignment horizontal="right" vertical="center"/>
    </xf>
    <xf numFmtId="9" fontId="21" fillId="10" borderId="1" xfId="1" applyFont="1" applyFill="1" applyBorder="1" applyAlignment="1">
      <alignment horizontal="left" vertical="center" indent="2"/>
    </xf>
    <xf numFmtId="9" fontId="24" fillId="14" borderId="1" xfId="1" applyFont="1" applyFill="1" applyBorder="1" applyAlignment="1">
      <alignment horizontal="left" vertical="center" indent="2"/>
    </xf>
    <xf numFmtId="0" fontId="25" fillId="14" borderId="0" xfId="0" applyFont="1" applyFill="1" applyAlignment="1">
      <alignment horizontal="left" vertical="center" indent="1"/>
    </xf>
    <xf numFmtId="0" fontId="20" fillId="12" borderId="1" xfId="0" applyFont="1" applyFill="1" applyBorder="1" applyAlignment="1">
      <alignment horizontal="left" vertical="center" indent="1"/>
    </xf>
    <xf numFmtId="9" fontId="3" fillId="14" borderId="7" xfId="1" applyFont="1" applyFill="1" applyBorder="1" applyAlignment="1">
      <alignment horizontal="center" vertical="center"/>
    </xf>
    <xf numFmtId="9" fontId="3" fillId="14"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9" fontId="19" fillId="10" borderId="7" xfId="1" applyFont="1" applyFill="1" applyBorder="1" applyAlignment="1">
      <alignment horizontal="center" vertical="center"/>
    </xf>
    <xf numFmtId="9" fontId="19"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5899706771058159E-2"/>
          <c:y val="8.6751549673312112E-2"/>
          <c:w val="0.92410029322894183"/>
          <c:h val="0.68121604480291031"/>
        </c:manualLayout>
      </c:layout>
      <c:barChart>
        <c:barDir val="col"/>
        <c:grouping val="stacked"/>
        <c:varyColors val="0"/>
        <c:ser>
          <c:idx val="0"/>
          <c:order val="0"/>
          <c:tx>
            <c:strRef>
              <c:f>Model!$A$10</c:f>
              <c:strCache>
                <c:ptCount val="1"/>
                <c:pt idx="0">
                  <c:v>Revenue</c:v>
                </c:pt>
              </c:strCache>
            </c:strRef>
          </c:tx>
          <c:spPr>
            <a:solidFill>
              <a:schemeClr val="accent1"/>
            </a:solidFill>
            <a:ln>
              <a:noFill/>
            </a:ln>
            <a:effectLst/>
          </c:spPr>
          <c:invertIfNegative val="0"/>
          <c:cat>
            <c:numRef>
              <c:f>Model!$B$9:$J$9</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Model!$B$10:$J$10</c:f>
              <c:numCache>
                <c:formatCode>#,###,,;\(#,###,,\);\ \-\ \-</c:formatCode>
                <c:ptCount val="9"/>
                <c:pt idx="0">
                  <c:v>4109111000</c:v>
                </c:pt>
                <c:pt idx="1">
                  <c:v>4015129000</c:v>
                </c:pt>
                <c:pt idx="2">
                  <c:v>5256328000</c:v>
                </c:pt>
                <c:pt idx="3">
                  <c:v>6260077000</c:v>
                </c:pt>
                <c:pt idx="4">
                  <c:v>5830000000</c:v>
                </c:pt>
                <c:pt idx="5">
                  <c:v>6488000000</c:v>
                </c:pt>
                <c:pt idx="6">
                  <c:v>7157000000</c:v>
                </c:pt>
                <c:pt idx="7">
                  <c:v>7891000000</c:v>
                </c:pt>
                <c:pt idx="8">
                  <c:v>8562000000</c:v>
                </c:pt>
              </c:numCache>
            </c:numRef>
          </c:val>
          <c:extLst>
            <c:ext xmlns:c16="http://schemas.microsoft.com/office/drawing/2014/chart" uri="{C3380CC4-5D6E-409C-BE32-E72D297353CC}">
              <c16:uniqueId val="{00000000-2277-284A-9469-5CB204A6C530}"/>
            </c:ext>
          </c:extLst>
        </c:ser>
        <c:ser>
          <c:idx val="1"/>
          <c:order val="1"/>
          <c:tx>
            <c:strRef>
              <c:f>Model!$A$12</c:f>
              <c:strCache>
                <c:ptCount val="1"/>
                <c:pt idx="0">
                  <c:v>Net Income</c:v>
                </c:pt>
              </c:strCache>
            </c:strRef>
          </c:tx>
          <c:spPr>
            <a:solidFill>
              <a:schemeClr val="accent2"/>
            </a:solidFill>
            <a:ln>
              <a:noFill/>
            </a:ln>
            <a:effectLst/>
          </c:spPr>
          <c:invertIfNegative val="0"/>
          <c:cat>
            <c:numRef>
              <c:f>Model!$B$9:$J$9</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Model!$B$12:$J$12</c:f>
              <c:numCache>
                <c:formatCode>#,###,,;\(#,###,,\);\ \-\ \-</c:formatCode>
                <c:ptCount val="9"/>
                <c:pt idx="0">
                  <c:v>615518000</c:v>
                </c:pt>
                <c:pt idx="1">
                  <c:v>672682000</c:v>
                </c:pt>
                <c:pt idx="2">
                  <c:v>1034375000</c:v>
                </c:pt>
                <c:pt idx="3">
                  <c:v>1377159000</c:v>
                </c:pt>
                <c:pt idx="4">
                  <c:v>1184000000</c:v>
                </c:pt>
                <c:pt idx="5">
                  <c:v>1401000000</c:v>
                </c:pt>
                <c:pt idx="6">
                  <c:v>1645000000</c:v>
                </c:pt>
                <c:pt idx="7">
                  <c:v>1777000000</c:v>
                </c:pt>
                <c:pt idx="8">
                  <c:v>1912000000</c:v>
                </c:pt>
              </c:numCache>
            </c:numRef>
          </c:val>
          <c:extLst>
            <c:ext xmlns:c16="http://schemas.microsoft.com/office/drawing/2014/chart" uri="{C3380CC4-5D6E-409C-BE32-E72D297353CC}">
              <c16:uniqueId val="{00000001-2277-284A-9469-5CB204A6C530}"/>
            </c:ext>
          </c:extLst>
        </c:ser>
        <c:ser>
          <c:idx val="2"/>
          <c:order val="2"/>
          <c:tx>
            <c:strRef>
              <c:f>Model!$A$14</c:f>
              <c:strCache>
                <c:ptCount val="1"/>
                <c:pt idx="0">
                  <c:v>Free Cash Flow</c:v>
                </c:pt>
              </c:strCache>
            </c:strRef>
          </c:tx>
          <c:spPr>
            <a:solidFill>
              <a:schemeClr val="accent3"/>
            </a:solidFill>
            <a:ln>
              <a:noFill/>
            </a:ln>
            <a:effectLst/>
          </c:spPr>
          <c:invertIfNegative val="0"/>
          <c:cat>
            <c:numRef>
              <c:f>Model!$B$9:$J$9</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Model!$B$14:$J$14</c:f>
              <c:numCache>
                <c:formatCode>#,###,,;\(#,###,,\);\ \-\ \-</c:formatCode>
                <c:ptCount val="9"/>
                <c:pt idx="0">
                  <c:v>504844632</c:v>
                </c:pt>
                <c:pt idx="1">
                  <c:v>710019188</c:v>
                </c:pt>
                <c:pt idx="2">
                  <c:v>663815615</c:v>
                </c:pt>
                <c:pt idx="3">
                  <c:v>917602980</c:v>
                </c:pt>
                <c:pt idx="4">
                  <c:v>834400000</c:v>
                </c:pt>
                <c:pt idx="5">
                  <c:v>1006000000</c:v>
                </c:pt>
                <c:pt idx="6">
                  <c:v>1178000000</c:v>
                </c:pt>
                <c:pt idx="7">
                  <c:v>1251000000</c:v>
                </c:pt>
                <c:pt idx="8">
                  <c:v>1314000000</c:v>
                </c:pt>
              </c:numCache>
            </c:numRef>
          </c:val>
          <c:extLst>
            <c:ext xmlns:c16="http://schemas.microsoft.com/office/drawing/2014/chart" uri="{C3380CC4-5D6E-409C-BE32-E72D297353CC}">
              <c16:uniqueId val="{00000002-2277-284A-9469-5CB204A6C530}"/>
            </c:ext>
          </c:extLst>
        </c:ser>
        <c:dLbls>
          <c:showLegendKey val="0"/>
          <c:showVal val="0"/>
          <c:showCatName val="0"/>
          <c:showSerName val="0"/>
          <c:showPercent val="0"/>
          <c:showBubbleSize val="0"/>
        </c:dLbls>
        <c:gapWidth val="150"/>
        <c:overlap val="100"/>
        <c:axId val="576288576"/>
        <c:axId val="576290576"/>
      </c:barChart>
      <c:catAx>
        <c:axId val="576288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576290576"/>
        <c:crosses val="autoZero"/>
        <c:auto val="1"/>
        <c:lblAlgn val="ctr"/>
        <c:lblOffset val="100"/>
        <c:noMultiLvlLbl val="0"/>
      </c:catAx>
      <c:valAx>
        <c:axId val="576290576"/>
        <c:scaling>
          <c:orientation val="minMax"/>
        </c:scaling>
        <c:delete val="0"/>
        <c:axPos val="l"/>
        <c:majorGridlines>
          <c:spPr>
            <a:ln w="9525" cap="flat" cmpd="sng" algn="ctr">
              <a:no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3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576288576"/>
        <c:crosses val="autoZero"/>
        <c:crossBetween val="between"/>
      </c:valAx>
      <c:spPr>
        <a:noFill/>
        <a:ln>
          <a:noFill/>
        </a:ln>
        <a:effectLst/>
      </c:spPr>
    </c:plotArea>
    <c:legend>
      <c:legendPos val="b"/>
      <c:layout>
        <c:manualLayout>
          <c:xMode val="edge"/>
          <c:yMode val="edge"/>
          <c:x val="0.37318659482309513"/>
          <c:y val="5.6197735921307716E-2"/>
          <c:w val="0.28293050325231089"/>
          <c:h val="6.1914175621664312E-2"/>
        </c:manualLayout>
      </c:layout>
      <c:overlay val="0"/>
      <c:spPr>
        <a:noFill/>
        <a:ln>
          <a:noFill/>
        </a:ln>
        <a:effectLst/>
      </c:spPr>
      <c:txPr>
        <a:bodyPr rot="0" spcFirstLastPara="1" vertOverflow="ellipsis" vert="horz" wrap="square" anchor="ctr" anchorCtr="1"/>
        <a:lstStyle/>
        <a:p>
          <a:pPr>
            <a:defRPr sz="13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1028700</xdr:colOff>
      <xdr:row>17</xdr:row>
      <xdr:rowOff>101600</xdr:rowOff>
    </xdr:from>
    <xdr:to>
      <xdr:col>10</xdr:col>
      <xdr:colOff>114300</xdr:colOff>
      <xdr:row>33</xdr:row>
      <xdr:rowOff>76200</xdr:rowOff>
    </xdr:to>
    <xdr:graphicFrame macro="">
      <xdr:nvGraphicFramePr>
        <xdr:cNvPr id="2" name="Chart 1">
          <a:extLst>
            <a:ext uri="{FF2B5EF4-FFF2-40B4-BE49-F238E27FC236}">
              <a16:creationId xmlns:a16="http://schemas.microsoft.com/office/drawing/2014/main" id="{1FE4A872-51AB-8BC9-9B62-37B45DAB62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chnology - Software"/>
      <sheetName val="Technology - Hardware"/>
      <sheetName val="Healthcare"/>
      <sheetName val="Industrials"/>
      <sheetName val="Commodity Stocks"/>
      <sheetName val="Full Portfolio"/>
      <sheetName val="Growth"/>
      <sheetName val="ROIC"/>
      <sheetName val="Watchlist"/>
      <sheetName val="US Treasury Bonds"/>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sheetData sheetId="8"/>
      <sheetData sheetId="9">
        <row r="8">
          <cell r="C8">
            <v>4.7160000000000001E-2</v>
          </cell>
        </row>
      </sheetData>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https://www.bing.com/financeapi/forcetrigger?t=a1z3h7&amp;q=XNAS%3aODFL&amp;form=skydnc</v>
    <v>Learn more on Bing</v>
  </rv>
  <rv s="1">
    <v>0</v>
    <v>OLD DOMINION FREIGHT LINE, INC. (XNAS:ODFL)</v>
    <v>2</v>
    <v>3</v>
    <v>Finance</v>
    <v>4</v>
    <v>en-US</v>
    <v>a1z3h7</v>
    <v>268435456</v>
    <v>1</v>
    <v>Powered by Refinitiv</v>
    <v>438.05</v>
    <v>250.3776</v>
    <v>1.0633999999999999</v>
    <v>10.14</v>
    <v>2.5144000000000003E-2</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23471</v>
    <v>Nasdaq Stock Market</v>
    <v>XNAS</v>
    <v>XNAS</v>
    <v>500 Old Dominion Way, THOMASVILLE, NC, 27360 US</v>
    <v>415.46</v>
    <v>Freight &amp; Logistics Services</v>
    <v>Stock</v>
    <v>45205.903928125001</v>
    <v>0</v>
    <v>401.22</v>
    <v>45173610000</v>
    <v>OLD DOMINION FREIGHT LINE, INC.</v>
    <v>OLD DOMINION FREIGHT LINE, INC.</v>
    <v>401.33</v>
    <v>35.932000000000002</v>
    <v>403.28</v>
    <v>413.42</v>
    <v>109268100</v>
    <v>ODFL</v>
    <v>OLD DOMINION FREIGHT LINE, INC. (XNAS:ODFL)</v>
    <v>80</v>
    <v>638928</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ODF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64" workbookViewId="0">
      <pane xSplit="1" topLeftCell="I1" activePane="topRight" state="frozen"/>
      <selection pane="topRight" activeCell="K198" sqref="K198"/>
    </sheetView>
  </sheetViews>
  <sheetFormatPr baseColWidth="10" defaultRowHeight="15" x14ac:dyDescent="0.2"/>
  <cols>
    <col min="1" max="1" width="45.83203125" customWidth="1"/>
    <col min="2" max="20" width="15.83203125" customWidth="1"/>
  </cols>
  <sheetData>
    <row r="1" spans="1:30" ht="16" x14ac:dyDescent="0.2">
      <c r="A1" s="47"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4" t="s">
        <v>18</v>
      </c>
      <c r="B2" s="35">
        <v>1480998000</v>
      </c>
      <c r="C2" s="35">
        <v>1882541000</v>
      </c>
      <c r="D2" s="35">
        <v>2110483000</v>
      </c>
      <c r="E2" s="35">
        <v>2337648000</v>
      </c>
      <c r="F2" s="35">
        <v>2787897000</v>
      </c>
      <c r="G2" s="35">
        <v>2972442000</v>
      </c>
      <c r="H2" s="35">
        <v>2991517000</v>
      </c>
      <c r="I2" s="35">
        <v>3358112000</v>
      </c>
      <c r="J2" s="35">
        <v>4043695000</v>
      </c>
      <c r="K2" s="35">
        <v>4109111000</v>
      </c>
      <c r="L2" s="35">
        <v>4015129000</v>
      </c>
      <c r="M2" s="35">
        <v>5256328000</v>
      </c>
      <c r="N2" s="35">
        <v>6260077000</v>
      </c>
      <c r="O2" s="36">
        <v>5950674000</v>
      </c>
      <c r="P2" s="35">
        <v>1603690000</v>
      </c>
      <c r="Q2" s="35">
        <v>1491659000</v>
      </c>
      <c r="R2" s="35">
        <v>1442136000</v>
      </c>
      <c r="S2" s="35">
        <v>1413189000</v>
      </c>
    </row>
    <row r="3" spans="1:30" ht="19" x14ac:dyDescent="0.25">
      <c r="A3" s="8" t="s">
        <v>191</v>
      </c>
      <c r="B3" s="9"/>
      <c r="C3" s="10">
        <f>(C2/B2)-1</f>
        <v>0.27113000827820155</v>
      </c>
      <c r="D3" s="10">
        <f>(D2/C2)-1</f>
        <v>0.12108209064238173</v>
      </c>
      <c r="E3" s="10">
        <f>(E2/D2)-1</f>
        <v>0.10763649837501643</v>
      </c>
      <c r="F3" s="10">
        <f t="shared" ref="F3:S3" si="0">(F2/E2)-1</f>
        <v>0.19260769799388111</v>
      </c>
      <c r="G3" s="10">
        <f t="shared" si="0"/>
        <v>6.6195056704031696E-2</v>
      </c>
      <c r="H3" s="10">
        <f t="shared" si="0"/>
        <v>6.4172824902890557E-3</v>
      </c>
      <c r="I3" s="10">
        <f t="shared" si="0"/>
        <v>0.12254484931892407</v>
      </c>
      <c r="J3" s="10">
        <f t="shared" si="0"/>
        <v>0.20415727646963533</v>
      </c>
      <c r="K3" s="10">
        <f t="shared" si="0"/>
        <v>1.6177283400454323E-2</v>
      </c>
      <c r="L3" s="10">
        <f t="shared" si="0"/>
        <v>-2.2871613835693361E-2</v>
      </c>
      <c r="M3" s="10">
        <f t="shared" si="0"/>
        <v>0.30913054101126014</v>
      </c>
      <c r="N3" s="10">
        <f t="shared" si="0"/>
        <v>0.1909601151221918</v>
      </c>
      <c r="O3" s="10">
        <f>(O2/N2)-1</f>
        <v>-4.9424791420297209E-2</v>
      </c>
      <c r="P3" s="10"/>
      <c r="Q3" s="10">
        <f t="shared" si="0"/>
        <v>-6.9858264377778756E-2</v>
      </c>
      <c r="R3" s="10">
        <f t="shared" si="0"/>
        <v>-3.3199947172912858E-2</v>
      </c>
      <c r="S3" s="10">
        <f t="shared" si="0"/>
        <v>-2.0072309407711875E-2</v>
      </c>
      <c r="T3" s="11"/>
      <c r="U3" s="11"/>
      <c r="V3" s="11"/>
      <c r="W3" s="11"/>
      <c r="X3" s="11"/>
      <c r="Y3" s="11"/>
      <c r="Z3" s="11"/>
      <c r="AA3" s="12"/>
      <c r="AB3" s="12"/>
      <c r="AC3" s="12"/>
      <c r="AD3" s="12"/>
    </row>
    <row r="4" spans="1:30" ht="16" x14ac:dyDescent="0.2">
      <c r="A4" s="2" t="s">
        <v>19</v>
      </c>
      <c r="B4" s="3">
        <v>1480998000</v>
      </c>
      <c r="C4" s="3">
        <v>1882541000</v>
      </c>
      <c r="D4" s="3">
        <v>2110483000</v>
      </c>
      <c r="E4" s="3">
        <v>2337648000</v>
      </c>
      <c r="F4" s="3">
        <v>2787897000</v>
      </c>
      <c r="G4" s="3">
        <v>2972442000</v>
      </c>
      <c r="H4" s="3">
        <v>2991517000</v>
      </c>
      <c r="I4" s="3">
        <v>3358112000</v>
      </c>
      <c r="J4" s="3">
        <v>4043695000</v>
      </c>
      <c r="K4" s="3">
        <v>4109111000</v>
      </c>
      <c r="L4" s="3">
        <v>4015129000</v>
      </c>
      <c r="M4" s="3">
        <v>5256328000</v>
      </c>
      <c r="N4" s="3">
        <v>6260077000</v>
      </c>
      <c r="O4" s="4">
        <v>5950674000</v>
      </c>
      <c r="P4" s="3">
        <v>1603690000</v>
      </c>
      <c r="Q4" s="3">
        <v>1491659000</v>
      </c>
      <c r="R4" s="3">
        <v>1442136000</v>
      </c>
      <c r="S4" s="3">
        <v>1413189000</v>
      </c>
    </row>
    <row r="5" spans="1:30" ht="16" x14ac:dyDescent="0.2">
      <c r="A5" s="2" t="s">
        <v>20</v>
      </c>
      <c r="B5" s="3">
        <v>228878000</v>
      </c>
      <c r="C5" s="3">
        <v>563420000</v>
      </c>
      <c r="D5" s="3">
        <v>1639768000</v>
      </c>
      <c r="E5" s="3">
        <v>1801401000</v>
      </c>
      <c r="F5" s="3">
        <v>2100409000</v>
      </c>
      <c r="G5" s="3">
        <v>2214943000</v>
      </c>
      <c r="H5" s="3">
        <v>2246890000</v>
      </c>
      <c r="I5" s="3">
        <v>2482732000</v>
      </c>
      <c r="J5" s="3">
        <v>2899452000</v>
      </c>
      <c r="K5" s="3">
        <v>2938895000</v>
      </c>
      <c r="L5" s="3">
        <v>2786531000</v>
      </c>
      <c r="M5" s="3">
        <v>3481268000</v>
      </c>
      <c r="N5" s="3">
        <v>4003951000</v>
      </c>
      <c r="O5" s="4">
        <v>3826767000</v>
      </c>
      <c r="P5" s="3">
        <v>995144000</v>
      </c>
      <c r="Q5" s="3">
        <v>964008000</v>
      </c>
      <c r="R5" s="3">
        <v>951021000</v>
      </c>
      <c r="S5" s="3">
        <v>916594000</v>
      </c>
    </row>
    <row r="6" spans="1:30" ht="16" x14ac:dyDescent="0.2">
      <c r="A6" s="2" t="s">
        <v>21</v>
      </c>
      <c r="B6" s="3">
        <v>228878000</v>
      </c>
      <c r="C6" s="3">
        <v>563420000</v>
      </c>
      <c r="D6" s="3">
        <v>1639768000</v>
      </c>
      <c r="E6" s="3">
        <v>1801401000</v>
      </c>
      <c r="F6" s="3">
        <v>2100409000</v>
      </c>
      <c r="G6" s="3">
        <v>2214943000</v>
      </c>
      <c r="H6" s="3">
        <v>2246890000</v>
      </c>
      <c r="I6" s="3">
        <v>2482732000</v>
      </c>
      <c r="J6" s="3">
        <v>2899452000</v>
      </c>
      <c r="K6" s="3">
        <v>2938895000</v>
      </c>
      <c r="L6" s="3">
        <v>2786531000</v>
      </c>
      <c r="M6" s="3">
        <v>3481268000</v>
      </c>
      <c r="N6" s="3">
        <v>4003951000</v>
      </c>
      <c r="O6" s="4">
        <v>3826767000</v>
      </c>
      <c r="P6" s="3">
        <v>995144000</v>
      </c>
      <c r="Q6" s="3">
        <v>964008000</v>
      </c>
      <c r="R6" s="3">
        <v>951021000</v>
      </c>
      <c r="S6" s="3">
        <v>916594000</v>
      </c>
    </row>
    <row r="7" spans="1:30" ht="16" x14ac:dyDescent="0.2">
      <c r="A7" s="17" t="s">
        <v>22</v>
      </c>
      <c r="B7" s="18">
        <v>1252120000</v>
      </c>
      <c r="C7" s="18">
        <v>1319121000</v>
      </c>
      <c r="D7" s="18">
        <v>470715000</v>
      </c>
      <c r="E7" s="18">
        <v>536247000</v>
      </c>
      <c r="F7" s="18">
        <v>687488000</v>
      </c>
      <c r="G7" s="18">
        <v>757499000</v>
      </c>
      <c r="H7" s="18">
        <v>744627000</v>
      </c>
      <c r="I7" s="18">
        <v>875380000</v>
      </c>
      <c r="J7" s="18">
        <v>1144243000</v>
      </c>
      <c r="K7" s="18">
        <v>1170216000</v>
      </c>
      <c r="L7" s="18">
        <v>1228598000</v>
      </c>
      <c r="M7" s="18">
        <v>1775060000</v>
      </c>
      <c r="N7" s="18">
        <v>2256126000</v>
      </c>
      <c r="O7" s="19">
        <v>2123907000</v>
      </c>
      <c r="P7" s="18">
        <v>608546000</v>
      </c>
      <c r="Q7" s="18">
        <v>527651000</v>
      </c>
      <c r="R7" s="18">
        <v>491115000</v>
      </c>
      <c r="S7" s="18">
        <v>496595000</v>
      </c>
    </row>
    <row r="8" spans="1:30" ht="16" x14ac:dyDescent="0.2">
      <c r="A8" s="13" t="s">
        <v>58</v>
      </c>
      <c r="B8" s="14">
        <v>84.55</v>
      </c>
      <c r="C8" s="14">
        <v>70.069999999999993</v>
      </c>
      <c r="D8" s="14">
        <v>22.3</v>
      </c>
      <c r="E8" s="14">
        <v>22.94</v>
      </c>
      <c r="F8" s="14">
        <v>24.66</v>
      </c>
      <c r="G8" s="14">
        <v>25.48</v>
      </c>
      <c r="H8" s="14">
        <v>24.89</v>
      </c>
      <c r="I8" s="14">
        <v>26.07</v>
      </c>
      <c r="J8" s="14">
        <v>28.3</v>
      </c>
      <c r="K8" s="14">
        <v>28.48</v>
      </c>
      <c r="L8" s="14">
        <v>30.6</v>
      </c>
      <c r="M8" s="14">
        <v>33.770000000000003</v>
      </c>
      <c r="N8" s="14">
        <v>36.04</v>
      </c>
      <c r="O8" s="15">
        <v>35.69</v>
      </c>
      <c r="P8" s="14">
        <v>37.950000000000003</v>
      </c>
      <c r="Q8" s="16">
        <v>35.369999999999997</v>
      </c>
      <c r="R8" s="14">
        <v>34.049999999999997</v>
      </c>
      <c r="S8" s="14">
        <v>35.14</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1033235000</v>
      </c>
      <c r="C10" s="3">
        <v>1085049000</v>
      </c>
      <c r="D10" s="3">
        <v>185461000</v>
      </c>
      <c r="E10" s="3">
        <v>197809000</v>
      </c>
      <c r="F10" s="3">
        <v>246181000</v>
      </c>
      <c r="G10" s="3">
        <v>259259000</v>
      </c>
      <c r="H10" s="3">
        <v>260792000</v>
      </c>
      <c r="I10" s="3">
        <v>299494000</v>
      </c>
      <c r="J10" s="3">
        <v>327192000</v>
      </c>
      <c r="K10" s="3">
        <v>351510000</v>
      </c>
      <c r="L10" s="3">
        <v>321716000</v>
      </c>
      <c r="M10" s="3">
        <v>383458000</v>
      </c>
      <c r="N10" s="3">
        <v>415494000</v>
      </c>
      <c r="O10" s="4">
        <v>422955000</v>
      </c>
      <c r="P10" s="3">
        <v>112466000</v>
      </c>
      <c r="Q10" s="3">
        <v>97422000</v>
      </c>
      <c r="R10" s="3">
        <v>108066000</v>
      </c>
      <c r="S10" s="3">
        <v>105001000</v>
      </c>
    </row>
    <row r="11" spans="1:30" ht="16" x14ac:dyDescent="0.2">
      <c r="A11" s="2" t="s">
        <v>26</v>
      </c>
      <c r="B11" s="3">
        <v>897453000</v>
      </c>
      <c r="C11" s="3">
        <v>994229000</v>
      </c>
      <c r="D11" s="3">
        <v>108569000</v>
      </c>
      <c r="E11" s="3">
        <v>123817000</v>
      </c>
      <c r="F11" s="3">
        <v>144817000</v>
      </c>
      <c r="G11" s="3">
        <v>153589000</v>
      </c>
      <c r="H11" s="3">
        <v>152391000</v>
      </c>
      <c r="I11" s="3">
        <v>177205000</v>
      </c>
      <c r="J11" s="3">
        <v>194368000</v>
      </c>
      <c r="K11" s="3">
        <v>206125000</v>
      </c>
      <c r="L11" s="3">
        <v>184185000</v>
      </c>
      <c r="M11" s="3">
        <v>223757000</v>
      </c>
      <c r="N11" s="3">
        <v>258883000</v>
      </c>
      <c r="O11" s="4">
        <v>263501000</v>
      </c>
      <c r="P11" s="3">
        <v>73730000</v>
      </c>
      <c r="Q11" s="3">
        <v>57679000</v>
      </c>
      <c r="R11" s="3">
        <v>66590000</v>
      </c>
      <c r="S11" s="3">
        <v>65502000</v>
      </c>
    </row>
    <row r="12" spans="1:30" ht="19" x14ac:dyDescent="0.25">
      <c r="A12" s="20" t="s">
        <v>192</v>
      </c>
      <c r="B12" s="10">
        <f t="shared" ref="B12:R12" si="1">B11/B2</f>
        <v>0.60597853609525465</v>
      </c>
      <c r="C12" s="10">
        <f t="shared" si="1"/>
        <v>0.52813139262305575</v>
      </c>
      <c r="D12" s="10">
        <f t="shared" si="1"/>
        <v>5.1442726617556264E-2</v>
      </c>
      <c r="E12" s="10">
        <f t="shared" si="1"/>
        <v>5.2966485972225072E-2</v>
      </c>
      <c r="F12" s="10">
        <f t="shared" si="1"/>
        <v>5.1944888925236479E-2</v>
      </c>
      <c r="G12" s="10">
        <f t="shared" si="1"/>
        <v>5.1670982983015312E-2</v>
      </c>
      <c r="H12" s="10">
        <f t="shared" si="1"/>
        <v>5.0941044292912255E-2</v>
      </c>
      <c r="I12" s="10">
        <f t="shared" si="1"/>
        <v>5.2769234617547005E-2</v>
      </c>
      <c r="J12" s="10">
        <f t="shared" si="1"/>
        <v>4.8066928885586079E-2</v>
      </c>
      <c r="K12" s="10">
        <f t="shared" si="1"/>
        <v>5.0162918451217307E-2</v>
      </c>
      <c r="L12" s="10">
        <f t="shared" si="1"/>
        <v>4.5872747799634829E-2</v>
      </c>
      <c r="M12" s="10">
        <f t="shared" si="1"/>
        <v>4.2569071032096929E-2</v>
      </c>
      <c r="N12" s="10">
        <f t="shared" si="1"/>
        <v>4.1354603146255227E-2</v>
      </c>
      <c r="O12" s="10">
        <f t="shared" si="1"/>
        <v>4.4280866335477294E-2</v>
      </c>
      <c r="P12" s="10">
        <f t="shared" si="1"/>
        <v>4.5975219649682916E-2</v>
      </c>
      <c r="Q12" s="10">
        <f t="shared" si="1"/>
        <v>3.866768477245805E-2</v>
      </c>
      <c r="R12" s="10">
        <f t="shared" si="1"/>
        <v>4.6174563286680313E-2</v>
      </c>
      <c r="S12" s="10">
        <f>S11/S2</f>
        <v>4.635048815126639E-2</v>
      </c>
      <c r="T12" s="11"/>
      <c r="U12" s="11"/>
      <c r="V12" s="11"/>
      <c r="W12" s="11"/>
      <c r="X12" s="11"/>
      <c r="Y12" s="11"/>
      <c r="Z12" s="11"/>
      <c r="AA12" s="12"/>
      <c r="AB12" s="12"/>
      <c r="AC12" s="12"/>
      <c r="AD12" s="12"/>
    </row>
    <row r="13" spans="1:30" ht="16" x14ac:dyDescent="0.2">
      <c r="A13" s="2" t="s">
        <v>27</v>
      </c>
      <c r="B13" s="3">
        <v>0</v>
      </c>
      <c r="C13" s="3">
        <v>0</v>
      </c>
      <c r="D13" s="3">
        <v>0</v>
      </c>
      <c r="E13" s="3">
        <v>0</v>
      </c>
      <c r="F13" s="3">
        <v>0</v>
      </c>
      <c r="G13" s="3">
        <v>0</v>
      </c>
      <c r="H13" s="3">
        <v>0</v>
      </c>
      <c r="I13" s="3">
        <v>0</v>
      </c>
      <c r="J13" s="3">
        <v>0</v>
      </c>
      <c r="K13" s="3">
        <v>0</v>
      </c>
      <c r="L13" s="3">
        <v>0</v>
      </c>
      <c r="M13" s="3">
        <v>0</v>
      </c>
      <c r="N13" s="3">
        <v>0</v>
      </c>
      <c r="O13" s="3">
        <v>0</v>
      </c>
      <c r="P13" s="3">
        <v>0</v>
      </c>
      <c r="Q13" s="3">
        <v>0</v>
      </c>
      <c r="R13" s="3">
        <v>0</v>
      </c>
      <c r="S13" s="3">
        <v>0</v>
      </c>
    </row>
    <row r="14" spans="1:30" ht="19" x14ac:dyDescent="0.25">
      <c r="A14" s="20" t="s">
        <v>193</v>
      </c>
      <c r="B14" s="10">
        <f t="shared" ref="B14:R14" si="2">B13/B2</f>
        <v>0</v>
      </c>
      <c r="C14" s="10">
        <f t="shared" si="2"/>
        <v>0</v>
      </c>
      <c r="D14" s="10">
        <f t="shared" si="2"/>
        <v>0</v>
      </c>
      <c r="E14" s="10">
        <f t="shared" si="2"/>
        <v>0</v>
      </c>
      <c r="F14" s="10">
        <f t="shared" si="2"/>
        <v>0</v>
      </c>
      <c r="G14" s="10">
        <f t="shared" si="2"/>
        <v>0</v>
      </c>
      <c r="H14" s="10">
        <f t="shared" si="2"/>
        <v>0</v>
      </c>
      <c r="I14" s="10">
        <f t="shared" si="2"/>
        <v>0</v>
      </c>
      <c r="J14" s="10">
        <f t="shared" si="2"/>
        <v>0</v>
      </c>
      <c r="K14" s="10">
        <f t="shared" si="2"/>
        <v>0</v>
      </c>
      <c r="L14" s="10">
        <f t="shared" si="2"/>
        <v>0</v>
      </c>
      <c r="M14" s="10">
        <f t="shared" si="2"/>
        <v>0</v>
      </c>
      <c r="N14" s="10">
        <f t="shared" si="2"/>
        <v>0</v>
      </c>
      <c r="O14" s="10">
        <f t="shared" si="2"/>
        <v>0</v>
      </c>
      <c r="P14" s="10">
        <f t="shared" si="2"/>
        <v>0</v>
      </c>
      <c r="Q14" s="10">
        <f t="shared" si="2"/>
        <v>0</v>
      </c>
      <c r="R14" s="10">
        <f t="shared" si="2"/>
        <v>0</v>
      </c>
      <c r="S14" s="10">
        <f>S13/S2</f>
        <v>0</v>
      </c>
      <c r="T14" s="11"/>
      <c r="U14" s="11"/>
      <c r="V14" s="11"/>
      <c r="W14" s="11"/>
      <c r="X14" s="11"/>
      <c r="Y14" s="11"/>
      <c r="Z14" s="11"/>
      <c r="AA14" s="12"/>
      <c r="AB14" s="12"/>
      <c r="AC14" s="12"/>
      <c r="AD14" s="12"/>
    </row>
    <row r="15" spans="1:30" ht="16" x14ac:dyDescent="0.2">
      <c r="A15" s="2" t="s">
        <v>28</v>
      </c>
      <c r="B15" s="3">
        <v>135782000</v>
      </c>
      <c r="C15" s="3">
        <v>90820000</v>
      </c>
      <c r="D15" s="3">
        <v>76892000</v>
      </c>
      <c r="E15" s="3">
        <v>73992000</v>
      </c>
      <c r="F15" s="3">
        <v>101364000</v>
      </c>
      <c r="G15" s="3">
        <v>105670000</v>
      </c>
      <c r="H15" s="3">
        <v>108401000</v>
      </c>
      <c r="I15" s="3">
        <v>122289000</v>
      </c>
      <c r="J15" s="3">
        <v>132824000</v>
      </c>
      <c r="K15" s="3">
        <v>145385000</v>
      </c>
      <c r="L15" s="3">
        <v>137531000</v>
      </c>
      <c r="M15" s="3">
        <v>159701000</v>
      </c>
      <c r="N15" s="3">
        <v>156611000</v>
      </c>
      <c r="O15" s="4">
        <v>159454000</v>
      </c>
      <c r="P15" s="3">
        <v>38736000</v>
      </c>
      <c r="Q15" s="3">
        <v>39743000</v>
      </c>
      <c r="R15" s="3">
        <v>41476000</v>
      </c>
      <c r="S15" s="3">
        <v>39499000</v>
      </c>
    </row>
    <row r="16" spans="1:30" ht="16" x14ac:dyDescent="0.2">
      <c r="A16" s="29" t="s">
        <v>29</v>
      </c>
      <c r="B16" s="32">
        <v>218885000</v>
      </c>
      <c r="C16" s="32">
        <v>234072000</v>
      </c>
      <c r="D16" s="32">
        <v>285254000</v>
      </c>
      <c r="E16" s="32">
        <v>338438000</v>
      </c>
      <c r="F16" s="32">
        <v>441307000</v>
      </c>
      <c r="G16" s="32">
        <v>498240000</v>
      </c>
      <c r="H16" s="32">
        <v>483835000</v>
      </c>
      <c r="I16" s="32">
        <v>575886000</v>
      </c>
      <c r="J16" s="32">
        <v>817051000</v>
      </c>
      <c r="K16" s="32">
        <v>818706000</v>
      </c>
      <c r="L16" s="32">
        <v>906882000</v>
      </c>
      <c r="M16" s="32">
        <v>1391602000</v>
      </c>
      <c r="N16" s="32">
        <v>1840632000</v>
      </c>
      <c r="O16" s="33">
        <v>1700952000</v>
      </c>
      <c r="P16" s="32">
        <v>496080000</v>
      </c>
      <c r="Q16" s="32">
        <v>430229000</v>
      </c>
      <c r="R16" s="32">
        <v>383049000</v>
      </c>
      <c r="S16" s="32">
        <v>391594000</v>
      </c>
    </row>
    <row r="17" spans="1:30" ht="16" x14ac:dyDescent="0.2">
      <c r="A17" s="22" t="s">
        <v>59</v>
      </c>
      <c r="B17" s="23">
        <v>14.78</v>
      </c>
      <c r="C17" s="23">
        <v>12.43</v>
      </c>
      <c r="D17" s="23">
        <v>13.52</v>
      </c>
      <c r="E17" s="23">
        <v>14.48</v>
      </c>
      <c r="F17" s="23">
        <v>15.83</v>
      </c>
      <c r="G17" s="23">
        <v>16.760000000000002</v>
      </c>
      <c r="H17" s="23">
        <v>16.170000000000002</v>
      </c>
      <c r="I17" s="23">
        <v>17.149999999999999</v>
      </c>
      <c r="J17" s="24">
        <v>20.21</v>
      </c>
      <c r="K17" s="23">
        <v>19.920000000000002</v>
      </c>
      <c r="L17" s="23">
        <v>22.59</v>
      </c>
      <c r="M17" s="23">
        <v>26.47</v>
      </c>
      <c r="N17" s="23">
        <v>29.4</v>
      </c>
      <c r="O17" s="25">
        <v>28.58</v>
      </c>
      <c r="P17" s="23">
        <v>30.93</v>
      </c>
      <c r="Q17" s="23">
        <v>28.84</v>
      </c>
      <c r="R17" s="23">
        <v>26.56</v>
      </c>
      <c r="S17" s="23">
        <v>27.71</v>
      </c>
    </row>
    <row r="18" spans="1:30" ht="19" x14ac:dyDescent="0.25">
      <c r="A18" s="21" t="s">
        <v>194</v>
      </c>
      <c r="B18" s="9"/>
      <c r="C18" s="10">
        <f>(C16/B16)-1</f>
        <v>6.9383466203714272E-2</v>
      </c>
      <c r="D18" s="10">
        <f>(D16/C16)-1</f>
        <v>0.21865921596773652</v>
      </c>
      <c r="E18" s="10">
        <f>(E16/D16)-1</f>
        <v>0.18644436186696778</v>
      </c>
      <c r="F18" s="10">
        <f t="shared" ref="F18:N18" si="3">(F16/E16)-1</f>
        <v>0.30395227486275189</v>
      </c>
      <c r="G18" s="10">
        <f t="shared" si="3"/>
        <v>0.12900996358544048</v>
      </c>
      <c r="H18" s="10">
        <f t="shared" si="3"/>
        <v>-2.8911769428387912E-2</v>
      </c>
      <c r="I18" s="10">
        <f t="shared" si="3"/>
        <v>0.1902528754637427</v>
      </c>
      <c r="J18" s="10">
        <f t="shared" si="3"/>
        <v>0.418772118092817</v>
      </c>
      <c r="K18" s="10">
        <f t="shared" si="3"/>
        <v>2.0255773507407149E-3</v>
      </c>
      <c r="L18" s="10">
        <f t="shared" si="3"/>
        <v>0.10770166579944451</v>
      </c>
      <c r="M18" s="10">
        <f t="shared" si="3"/>
        <v>0.53449070551626332</v>
      </c>
      <c r="N18" s="10">
        <f t="shared" si="3"/>
        <v>0.32267128101281828</v>
      </c>
      <c r="O18" s="10">
        <f>(O16/N16)-1</f>
        <v>-7.5886977951051593E-2</v>
      </c>
      <c r="P18" s="10"/>
      <c r="Q18" s="10">
        <f>(Q16/P16)-1</f>
        <v>-0.13274270278987255</v>
      </c>
      <c r="R18" s="10">
        <f>(R16/Q16)-1</f>
        <v>-0.10966252856037129</v>
      </c>
      <c r="S18" s="10">
        <f>(S16/R16)-1</f>
        <v>2.2307850953794395E-2</v>
      </c>
      <c r="T18" s="11"/>
      <c r="U18" s="11"/>
      <c r="V18" s="11"/>
      <c r="W18" s="11"/>
      <c r="X18" s="11"/>
      <c r="Y18" s="11"/>
      <c r="Z18" s="11"/>
      <c r="AA18" s="12"/>
      <c r="AB18" s="12"/>
      <c r="AC18" s="12"/>
      <c r="AD18" s="12"/>
    </row>
    <row r="19" spans="1:30" ht="16" x14ac:dyDescent="0.2">
      <c r="A19" s="2" t="s">
        <v>30</v>
      </c>
      <c r="B19" s="3">
        <v>94459000</v>
      </c>
      <c r="C19" s="3">
        <v>13988000</v>
      </c>
      <c r="D19" s="3">
        <v>12156000</v>
      </c>
      <c r="E19" s="3">
        <v>9752000</v>
      </c>
      <c r="F19" s="3">
        <v>8793000</v>
      </c>
      <c r="G19" s="3">
        <v>8223000</v>
      </c>
      <c r="H19" s="3">
        <v>6248000</v>
      </c>
      <c r="I19" s="3">
        <v>54000</v>
      </c>
      <c r="J19" s="3">
        <v>1538000</v>
      </c>
      <c r="K19" s="3">
        <v>-5243000</v>
      </c>
      <c r="L19" s="3">
        <v>5518000</v>
      </c>
      <c r="M19" s="3">
        <v>3179000</v>
      </c>
      <c r="N19" s="3">
        <v>-717000</v>
      </c>
      <c r="O19" s="4">
        <v>-3190000</v>
      </c>
      <c r="P19" s="3">
        <v>15000</v>
      </c>
      <c r="Q19" s="3">
        <v>-1773000</v>
      </c>
      <c r="R19" s="3">
        <v>-1100000</v>
      </c>
      <c r="S19" s="3">
        <v>-332000</v>
      </c>
    </row>
    <row r="20" spans="1:30" ht="16" x14ac:dyDescent="0.2">
      <c r="A20" s="2" t="s">
        <v>31</v>
      </c>
      <c r="B20" s="3">
        <v>12317000</v>
      </c>
      <c r="C20" s="3">
        <v>13707000</v>
      </c>
      <c r="D20" s="3">
        <v>11428000</v>
      </c>
      <c r="E20" s="3">
        <v>9473000</v>
      </c>
      <c r="F20" s="3">
        <v>6502000</v>
      </c>
      <c r="G20" s="3">
        <v>5001000</v>
      </c>
      <c r="H20" s="3">
        <v>4274000</v>
      </c>
      <c r="I20" s="3">
        <v>1414000</v>
      </c>
      <c r="J20" s="3">
        <v>-2924000</v>
      </c>
      <c r="K20" s="3">
        <v>-6386000</v>
      </c>
      <c r="L20" s="3">
        <v>952000</v>
      </c>
      <c r="M20" s="3">
        <v>941000</v>
      </c>
      <c r="N20" s="3">
        <v>-3321000</v>
      </c>
      <c r="O20" s="4">
        <v>-7897000</v>
      </c>
      <c r="P20" s="3">
        <v>-336000</v>
      </c>
      <c r="Q20" s="3">
        <v>-2671000</v>
      </c>
      <c r="R20" s="3">
        <v>-2611000</v>
      </c>
      <c r="S20" s="3">
        <v>-2279000</v>
      </c>
    </row>
    <row r="21" spans="1:30" ht="16" x14ac:dyDescent="0.2">
      <c r="A21" s="2" t="s">
        <v>32</v>
      </c>
      <c r="B21" s="3">
        <v>12465000</v>
      </c>
      <c r="C21" s="3">
        <v>13887000</v>
      </c>
      <c r="D21" s="3">
        <v>11541000</v>
      </c>
      <c r="E21" s="3">
        <v>9620000</v>
      </c>
      <c r="F21" s="3">
        <v>6610000</v>
      </c>
      <c r="G21" s="3">
        <v>5210000</v>
      </c>
      <c r="H21" s="3">
        <v>4332000</v>
      </c>
      <c r="I21" s="3">
        <v>2154000</v>
      </c>
      <c r="J21" s="3">
        <v>189000</v>
      </c>
      <c r="K21" s="3">
        <v>377000</v>
      </c>
      <c r="L21" s="3">
        <v>2782000</v>
      </c>
      <c r="M21" s="3">
        <v>1727000</v>
      </c>
      <c r="N21" s="3">
        <v>1563000</v>
      </c>
      <c r="O21" s="4">
        <v>1566000</v>
      </c>
      <c r="P21" s="3">
        <v>997000</v>
      </c>
      <c r="Q21" s="3">
        <v>280000</v>
      </c>
      <c r="R21" s="3">
        <v>200000</v>
      </c>
      <c r="S21" s="3">
        <v>89000</v>
      </c>
    </row>
    <row r="22" spans="1:30" ht="16" x14ac:dyDescent="0.2">
      <c r="A22" s="2" t="s">
        <v>33</v>
      </c>
      <c r="B22" s="3">
        <v>148000</v>
      </c>
      <c r="C22" s="3">
        <v>180000</v>
      </c>
      <c r="D22" s="3">
        <v>113000</v>
      </c>
      <c r="E22" s="3">
        <v>147000</v>
      </c>
      <c r="F22" s="3">
        <v>108000</v>
      </c>
      <c r="G22" s="3">
        <v>209000</v>
      </c>
      <c r="H22" s="3">
        <v>58000</v>
      </c>
      <c r="I22" s="3">
        <v>740000</v>
      </c>
      <c r="J22" s="3">
        <v>3113000</v>
      </c>
      <c r="K22" s="3">
        <v>6763000</v>
      </c>
      <c r="L22" s="3">
        <v>1830000</v>
      </c>
      <c r="M22" s="3">
        <v>786000</v>
      </c>
      <c r="N22" s="3">
        <v>4884000</v>
      </c>
      <c r="O22" s="4">
        <v>9463000</v>
      </c>
      <c r="P22" s="3">
        <v>1333000</v>
      </c>
      <c r="Q22" s="3">
        <v>2951000</v>
      </c>
      <c r="R22" s="3">
        <v>2811000</v>
      </c>
      <c r="S22" s="3">
        <v>2368000</v>
      </c>
    </row>
    <row r="23" spans="1:30" ht="16" x14ac:dyDescent="0.2">
      <c r="A23" s="2" t="s">
        <v>34</v>
      </c>
      <c r="B23" s="3">
        <v>82142000</v>
      </c>
      <c r="C23" s="3">
        <v>281000</v>
      </c>
      <c r="D23" s="3">
        <v>728000</v>
      </c>
      <c r="E23" s="3">
        <v>279000</v>
      </c>
      <c r="F23" s="3">
        <v>2291000</v>
      </c>
      <c r="G23" s="3">
        <v>3222000</v>
      </c>
      <c r="H23" s="3">
        <v>1974000</v>
      </c>
      <c r="I23" s="3">
        <v>-1360000</v>
      </c>
      <c r="J23" s="3">
        <v>4462000</v>
      </c>
      <c r="K23" s="3">
        <v>1143000</v>
      </c>
      <c r="L23" s="3">
        <v>4566000</v>
      </c>
      <c r="M23" s="3">
        <v>2238000</v>
      </c>
      <c r="N23" s="3">
        <v>2604000</v>
      </c>
      <c r="O23" s="4">
        <v>4707000</v>
      </c>
      <c r="P23" s="3">
        <v>351000</v>
      </c>
      <c r="Q23" s="3">
        <v>898000</v>
      </c>
      <c r="R23" s="3">
        <v>1511000</v>
      </c>
      <c r="S23" s="3">
        <v>1947000</v>
      </c>
    </row>
    <row r="24" spans="1:30" ht="16" x14ac:dyDescent="0.2">
      <c r="A24" s="2" t="s">
        <v>35</v>
      </c>
      <c r="B24" s="3">
        <v>124426000</v>
      </c>
      <c r="C24" s="3">
        <v>220084000</v>
      </c>
      <c r="D24" s="3">
        <v>273098000</v>
      </c>
      <c r="E24" s="3">
        <v>328686000</v>
      </c>
      <c r="F24" s="3">
        <v>432514000</v>
      </c>
      <c r="G24" s="3">
        <v>490017000</v>
      </c>
      <c r="H24" s="3">
        <v>477587000</v>
      </c>
      <c r="I24" s="3">
        <v>575832000</v>
      </c>
      <c r="J24" s="3">
        <v>815513000</v>
      </c>
      <c r="K24" s="3">
        <v>823949000</v>
      </c>
      <c r="L24" s="3">
        <v>901364000</v>
      </c>
      <c r="M24" s="3">
        <v>1388423000</v>
      </c>
      <c r="N24" s="3">
        <v>1841349000</v>
      </c>
      <c r="O24" s="4">
        <v>1704142000</v>
      </c>
      <c r="P24" s="3">
        <v>496065000</v>
      </c>
      <c r="Q24" s="3">
        <v>432002000</v>
      </c>
      <c r="R24" s="3">
        <v>384149000</v>
      </c>
      <c r="S24" s="3">
        <v>391926000</v>
      </c>
    </row>
    <row r="25" spans="1:30" ht="16" x14ac:dyDescent="0.2">
      <c r="A25" s="2" t="s">
        <v>36</v>
      </c>
      <c r="B25" s="3">
        <v>48775000</v>
      </c>
      <c r="C25" s="3">
        <v>80614000</v>
      </c>
      <c r="D25" s="3">
        <v>103646000</v>
      </c>
      <c r="E25" s="3">
        <v>122573000</v>
      </c>
      <c r="F25" s="3">
        <v>165000000</v>
      </c>
      <c r="G25" s="3">
        <v>185327000</v>
      </c>
      <c r="H25" s="3">
        <v>181822000</v>
      </c>
      <c r="I25" s="3">
        <v>112058000</v>
      </c>
      <c r="J25" s="3">
        <v>209845000</v>
      </c>
      <c r="K25" s="3">
        <v>208431000</v>
      </c>
      <c r="L25" s="3">
        <v>228682000</v>
      </c>
      <c r="M25" s="3">
        <v>354048000</v>
      </c>
      <c r="N25" s="3">
        <v>464190000</v>
      </c>
      <c r="O25" s="4">
        <v>425412000</v>
      </c>
      <c r="P25" s="3">
        <v>118664000</v>
      </c>
      <c r="Q25" s="3">
        <v>108073000</v>
      </c>
      <c r="R25" s="3">
        <v>99111000</v>
      </c>
      <c r="S25" s="3">
        <v>99564000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75651000</v>
      </c>
      <c r="C27" s="3">
        <v>139470000</v>
      </c>
      <c r="D27" s="3">
        <v>169452000</v>
      </c>
      <c r="E27" s="3">
        <v>206113000</v>
      </c>
      <c r="F27" s="3">
        <v>267514000</v>
      </c>
      <c r="G27" s="3">
        <v>304690000</v>
      </c>
      <c r="H27" s="3">
        <v>295765000</v>
      </c>
      <c r="I27" s="3">
        <v>463774000</v>
      </c>
      <c r="J27" s="3">
        <v>605668000</v>
      </c>
      <c r="K27" s="3">
        <v>615518000</v>
      </c>
      <c r="L27" s="3">
        <v>672682000</v>
      </c>
      <c r="M27" s="3">
        <v>1034375000</v>
      </c>
      <c r="N27" s="3">
        <v>1377159000</v>
      </c>
      <c r="O27" s="4">
        <v>1278730000</v>
      </c>
      <c r="P27" s="3">
        <v>377401000</v>
      </c>
      <c r="Q27" s="3">
        <v>323929000</v>
      </c>
      <c r="R27" s="3">
        <v>285038000</v>
      </c>
      <c r="S27" s="3">
        <v>292362000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75651000</v>
      </c>
      <c r="C31" s="3">
        <v>139470000</v>
      </c>
      <c r="D31" s="3">
        <v>169452000</v>
      </c>
      <c r="E31" s="3">
        <v>206113000</v>
      </c>
      <c r="F31" s="3">
        <v>267514000</v>
      </c>
      <c r="G31" s="3">
        <v>304690000</v>
      </c>
      <c r="H31" s="3">
        <v>295765000</v>
      </c>
      <c r="I31" s="3">
        <v>463774000</v>
      </c>
      <c r="J31" s="3">
        <v>605668000</v>
      </c>
      <c r="K31" s="3">
        <v>615518000</v>
      </c>
      <c r="L31" s="3">
        <v>672682000</v>
      </c>
      <c r="M31" s="3">
        <v>1034375000</v>
      </c>
      <c r="N31" s="3">
        <v>1377159000</v>
      </c>
      <c r="O31" s="4">
        <v>1278730000</v>
      </c>
      <c r="P31" s="3">
        <v>377401000</v>
      </c>
      <c r="Q31" s="3">
        <v>323929000</v>
      </c>
      <c r="R31" s="3">
        <v>285038000</v>
      </c>
      <c r="S31" s="3">
        <v>292362000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29" t="s">
        <v>44</v>
      </c>
      <c r="B33" s="30">
        <v>75651000</v>
      </c>
      <c r="C33" s="30">
        <v>139470000</v>
      </c>
      <c r="D33" s="30">
        <v>169452000</v>
      </c>
      <c r="E33" s="30">
        <v>206113000</v>
      </c>
      <c r="F33" s="30">
        <v>267514000</v>
      </c>
      <c r="G33" s="30">
        <v>304690000</v>
      </c>
      <c r="H33" s="30">
        <v>295765000</v>
      </c>
      <c r="I33" s="30">
        <v>463774000</v>
      </c>
      <c r="J33" s="30">
        <v>605668000</v>
      </c>
      <c r="K33" s="30">
        <v>615518000</v>
      </c>
      <c r="L33" s="30">
        <v>672682000</v>
      </c>
      <c r="M33" s="30">
        <v>1034375000</v>
      </c>
      <c r="N33" s="30">
        <v>1377159000</v>
      </c>
      <c r="O33" s="31">
        <v>1278730000</v>
      </c>
      <c r="P33" s="30">
        <v>377401000</v>
      </c>
      <c r="Q33" s="30">
        <v>323929000</v>
      </c>
      <c r="R33" s="30">
        <v>285038000</v>
      </c>
      <c r="S33" s="30">
        <v>292362000</v>
      </c>
    </row>
    <row r="34" spans="1:30" ht="16" x14ac:dyDescent="0.2">
      <c r="A34" s="22" t="s">
        <v>60</v>
      </c>
      <c r="B34" s="23">
        <v>5.1100000000000003</v>
      </c>
      <c r="C34" s="23">
        <v>7.41</v>
      </c>
      <c r="D34" s="23">
        <v>8.0299999999999994</v>
      </c>
      <c r="E34" s="23">
        <v>8.82</v>
      </c>
      <c r="F34" s="23">
        <v>9.6</v>
      </c>
      <c r="G34" s="23">
        <v>10.25</v>
      </c>
      <c r="H34" s="23">
        <v>9.89</v>
      </c>
      <c r="I34" s="23">
        <v>13.81</v>
      </c>
      <c r="J34" s="23">
        <v>14.98</v>
      </c>
      <c r="K34" s="23">
        <v>14.98</v>
      </c>
      <c r="L34" s="23">
        <v>16.75</v>
      </c>
      <c r="M34" s="23">
        <v>19.68</v>
      </c>
      <c r="N34" s="23">
        <v>22</v>
      </c>
      <c r="O34" s="25">
        <v>21.49</v>
      </c>
      <c r="P34" s="23">
        <v>23.53</v>
      </c>
      <c r="Q34" s="23">
        <v>21.72</v>
      </c>
      <c r="R34" s="23">
        <v>19.760000000000002</v>
      </c>
      <c r="S34" s="23">
        <v>20.69</v>
      </c>
    </row>
    <row r="35" spans="1:30" ht="19" x14ac:dyDescent="0.25">
      <c r="A35" s="26" t="s">
        <v>195</v>
      </c>
      <c r="B35" s="27"/>
      <c r="C35" s="28">
        <f>(C33/B33)-1</f>
        <v>0.84359757306578897</v>
      </c>
      <c r="D35" s="28">
        <f>(D33/C33)-1</f>
        <v>0.21497096149709605</v>
      </c>
      <c r="E35" s="28">
        <f>(E33/D33)-1</f>
        <v>0.21635035290229676</v>
      </c>
      <c r="F35" s="28">
        <f t="shared" ref="F35:N35" si="4">(F33/E33)-1</f>
        <v>0.29789969579793607</v>
      </c>
      <c r="G35" s="28">
        <f t="shared" si="4"/>
        <v>0.13896842782060004</v>
      </c>
      <c r="H35" s="28">
        <f t="shared" si="4"/>
        <v>-2.9292067347139739E-2</v>
      </c>
      <c r="I35" s="28">
        <f t="shared" si="4"/>
        <v>0.56804895778743258</v>
      </c>
      <c r="J35" s="28">
        <f t="shared" si="4"/>
        <v>0.30595505569523085</v>
      </c>
      <c r="K35" s="28">
        <f t="shared" si="4"/>
        <v>1.6263035194198805E-2</v>
      </c>
      <c r="L35" s="28">
        <f t="shared" si="4"/>
        <v>9.2871370130524156E-2</v>
      </c>
      <c r="M35" s="28">
        <f t="shared" si="4"/>
        <v>0.53768794170202261</v>
      </c>
      <c r="N35" s="28">
        <f t="shared" si="4"/>
        <v>0.33139238670694859</v>
      </c>
      <c r="O35" s="28">
        <f>(O33/N33)-1</f>
        <v>-7.1472502448882036E-2</v>
      </c>
      <c r="P35" s="28"/>
      <c r="Q35" s="28">
        <f>(Q33/P33)-1</f>
        <v>-0.14168483920286379</v>
      </c>
      <c r="R35" s="28">
        <f>(R33/Q33)-1</f>
        <v>-0.12006026011872972</v>
      </c>
      <c r="S35" s="28">
        <f>(S33/R33)-1</f>
        <v>2.5694819638083288E-2</v>
      </c>
      <c r="T35" s="11"/>
      <c r="U35" s="11"/>
      <c r="V35" s="11"/>
      <c r="W35" s="11"/>
      <c r="X35" s="11"/>
      <c r="Y35" s="11"/>
      <c r="Z35" s="11"/>
      <c r="AA35" s="12"/>
      <c r="AB35" s="12"/>
      <c r="AC35" s="12"/>
      <c r="AD35" s="12"/>
    </row>
    <row r="36" spans="1:30" ht="19" customHeight="1" x14ac:dyDescent="0.2">
      <c r="A36" s="37" t="s">
        <v>196</v>
      </c>
      <c r="B36" s="38">
        <f t="shared" ref="B36:S36" si="5">(B16*(1-0.25))/(B126+B105+B96)</f>
        <v>0.1746671865989407</v>
      </c>
      <c r="C36" s="38">
        <f t="shared" si="5"/>
        <v>0.15595040969917492</v>
      </c>
      <c r="D36" s="38">
        <f t="shared" si="5"/>
        <v>0.16893916182871438</v>
      </c>
      <c r="E36" s="38">
        <f t="shared" si="5"/>
        <v>0.17831158312088913</v>
      </c>
      <c r="F36" s="38">
        <f t="shared" si="5"/>
        <v>0.20062108356397043</v>
      </c>
      <c r="G36" s="38">
        <f t="shared" si="5"/>
        <v>0.20549459372363815</v>
      </c>
      <c r="H36" s="38">
        <f t="shared" si="5"/>
        <v>0.18550694150142144</v>
      </c>
      <c r="I36" s="38">
        <f t="shared" si="5"/>
        <v>0.18209995218930003</v>
      </c>
      <c r="J36" s="38">
        <f t="shared" si="5"/>
        <v>0.22483657025195167</v>
      </c>
      <c r="K36" s="38">
        <f t="shared" si="5"/>
        <v>0.19644436780425098</v>
      </c>
      <c r="L36" s="38">
        <f t="shared" si="5"/>
        <v>0.19851664473286734</v>
      </c>
      <c r="M36" s="38">
        <f t="shared" si="5"/>
        <v>0.27612947826763329</v>
      </c>
      <c r="N36" s="38">
        <f t="shared" si="5"/>
        <v>0.36784389588795807</v>
      </c>
      <c r="O36" s="38">
        <f t="shared" si="5"/>
        <v>0.32610234393872195</v>
      </c>
      <c r="P36" s="38" t="e">
        <f t="shared" si="5"/>
        <v>#VALUE!</v>
      </c>
      <c r="Q36" s="38">
        <f t="shared" si="5"/>
        <v>8.5979767538530413E-2</v>
      </c>
      <c r="R36" s="38">
        <f t="shared" si="5"/>
        <v>7.4688493281885246E-2</v>
      </c>
      <c r="S36" s="38">
        <f t="shared" si="5"/>
        <v>7.5075440854497882E-2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75651000</v>
      </c>
      <c r="C39" s="3">
        <v>139470000</v>
      </c>
      <c r="D39" s="3">
        <v>169452000</v>
      </c>
      <c r="E39" s="3">
        <v>206113000</v>
      </c>
      <c r="F39" s="3">
        <v>267514000</v>
      </c>
      <c r="G39" s="3">
        <v>304690000</v>
      </c>
      <c r="H39" s="3">
        <v>295765000</v>
      </c>
      <c r="I39" s="3">
        <v>463774000</v>
      </c>
      <c r="J39" s="3">
        <v>605668000</v>
      </c>
      <c r="K39" s="3">
        <v>615518000</v>
      </c>
      <c r="L39" s="3">
        <v>672682000</v>
      </c>
      <c r="M39" s="3">
        <v>1034375000</v>
      </c>
      <c r="N39" s="3">
        <v>1377159000</v>
      </c>
      <c r="O39" s="4">
        <v>1278730000</v>
      </c>
      <c r="P39" s="3">
        <v>377401000</v>
      </c>
      <c r="Q39" s="3">
        <v>323929000</v>
      </c>
      <c r="R39" s="3">
        <v>285038000</v>
      </c>
      <c r="S39" s="3">
        <v>292362000</v>
      </c>
    </row>
    <row r="40" spans="1:30" ht="16" x14ac:dyDescent="0.2">
      <c r="A40" s="2" t="s">
        <v>48</v>
      </c>
      <c r="B40" s="3">
        <v>125836000</v>
      </c>
      <c r="C40" s="3">
        <v>128580000</v>
      </c>
      <c r="D40" s="3">
        <v>129247000</v>
      </c>
      <c r="E40" s="3">
        <v>129247000</v>
      </c>
      <c r="F40" s="3">
        <v>129243000</v>
      </c>
      <c r="G40" s="3">
        <v>128068000</v>
      </c>
      <c r="H40" s="3">
        <v>124668000</v>
      </c>
      <c r="I40" s="3">
        <v>123463000</v>
      </c>
      <c r="J40" s="3">
        <v>122885000</v>
      </c>
      <c r="K40" s="3">
        <v>120414000</v>
      </c>
      <c r="L40" s="3">
        <v>117737000</v>
      </c>
      <c r="M40" s="3">
        <v>115651000</v>
      </c>
      <c r="N40" s="3">
        <v>112341000</v>
      </c>
      <c r="O40" s="4">
        <v>110343579</v>
      </c>
      <c r="P40" s="3">
        <v>111569000</v>
      </c>
      <c r="Q40" s="3">
        <v>110328055</v>
      </c>
      <c r="R40" s="3">
        <v>109956000</v>
      </c>
      <c r="S40" s="3">
        <v>109521000</v>
      </c>
    </row>
    <row r="41" spans="1:30" ht="16" x14ac:dyDescent="0.2">
      <c r="A41" s="2" t="s">
        <v>49</v>
      </c>
      <c r="B41" s="5">
        <v>0.6</v>
      </c>
      <c r="C41" s="5">
        <v>1.08</v>
      </c>
      <c r="D41" s="5">
        <v>1.31</v>
      </c>
      <c r="E41" s="5">
        <v>1.59</v>
      </c>
      <c r="F41" s="5">
        <v>2.0699999999999998</v>
      </c>
      <c r="G41" s="5">
        <v>2.38</v>
      </c>
      <c r="H41" s="5">
        <v>2.37</v>
      </c>
      <c r="I41" s="5">
        <v>3.76</v>
      </c>
      <c r="J41" s="5">
        <v>4.93</v>
      </c>
      <c r="K41" s="5">
        <v>5.1100000000000003</v>
      </c>
      <c r="L41" s="5">
        <v>5.71</v>
      </c>
      <c r="M41" s="5">
        <v>8.94</v>
      </c>
      <c r="N41" s="5">
        <v>12.26</v>
      </c>
      <c r="O41" s="6">
        <v>11.59</v>
      </c>
      <c r="P41" s="5">
        <v>3.38</v>
      </c>
      <c r="Q41" s="5">
        <v>2.94</v>
      </c>
      <c r="R41" s="5">
        <v>2.59</v>
      </c>
      <c r="S41" s="5">
        <v>2.67</v>
      </c>
    </row>
    <row r="42" spans="1:30" ht="16" x14ac:dyDescent="0.2">
      <c r="A42" s="2" t="s">
        <v>50</v>
      </c>
      <c r="B42" s="5">
        <v>0.6</v>
      </c>
      <c r="C42" s="5">
        <v>1.08</v>
      </c>
      <c r="D42" s="5">
        <v>1.31</v>
      </c>
      <c r="E42" s="5">
        <v>1.59</v>
      </c>
      <c r="F42" s="5">
        <v>2.0699999999999998</v>
      </c>
      <c r="G42" s="5">
        <v>2.38</v>
      </c>
      <c r="H42" s="5">
        <v>2.37</v>
      </c>
      <c r="I42" s="5">
        <v>3.76</v>
      </c>
      <c r="J42" s="5">
        <v>4.93</v>
      </c>
      <c r="K42" s="5">
        <v>5.1100000000000003</v>
      </c>
      <c r="L42" s="5">
        <v>5.71</v>
      </c>
      <c r="M42" s="5">
        <v>8.94</v>
      </c>
      <c r="N42" s="5">
        <v>12.26</v>
      </c>
      <c r="O42" s="6">
        <v>11.59</v>
      </c>
      <c r="P42" s="5">
        <v>3.38</v>
      </c>
      <c r="Q42" s="5">
        <v>2.94</v>
      </c>
      <c r="R42" s="5">
        <v>2.59</v>
      </c>
      <c r="S42" s="5">
        <v>2.67</v>
      </c>
    </row>
    <row r="43" spans="1:30" ht="16" x14ac:dyDescent="0.2">
      <c r="A43" s="2" t="s">
        <v>51</v>
      </c>
      <c r="B43" s="3">
        <v>125836000</v>
      </c>
      <c r="C43" s="3">
        <v>128580000</v>
      </c>
      <c r="D43" s="3">
        <v>129247000</v>
      </c>
      <c r="E43" s="3">
        <v>129247000</v>
      </c>
      <c r="F43" s="3">
        <v>129243000</v>
      </c>
      <c r="G43" s="3">
        <v>128068000</v>
      </c>
      <c r="H43" s="3">
        <v>124730000</v>
      </c>
      <c r="I43" s="3">
        <v>123611000</v>
      </c>
      <c r="J43" s="3">
        <v>123030000</v>
      </c>
      <c r="K43" s="3">
        <v>120610000</v>
      </c>
      <c r="L43" s="3">
        <v>118493000</v>
      </c>
      <c r="M43" s="3">
        <v>116410000</v>
      </c>
      <c r="N43" s="3">
        <v>113078000</v>
      </c>
      <c r="O43" s="4">
        <v>111060889</v>
      </c>
      <c r="P43" s="3">
        <v>112295000</v>
      </c>
      <c r="Q43" s="3">
        <v>111070619</v>
      </c>
      <c r="R43" s="3">
        <v>110679000</v>
      </c>
      <c r="S43" s="3">
        <v>110199000</v>
      </c>
    </row>
    <row r="44" spans="1:30" ht="16" x14ac:dyDescent="0.2">
      <c r="A44" s="2" t="s">
        <v>52</v>
      </c>
      <c r="B44" s="5">
        <v>0.6</v>
      </c>
      <c r="C44" s="5">
        <v>1.08</v>
      </c>
      <c r="D44" s="5">
        <v>1.31</v>
      </c>
      <c r="E44" s="5">
        <v>1.59</v>
      </c>
      <c r="F44" s="5">
        <v>2.0699999999999998</v>
      </c>
      <c r="G44" s="5">
        <v>2.38</v>
      </c>
      <c r="H44" s="5">
        <v>2.37</v>
      </c>
      <c r="I44" s="5">
        <v>3.75</v>
      </c>
      <c r="J44" s="5">
        <v>4.92</v>
      </c>
      <c r="K44" s="5">
        <v>5.0999999999999996</v>
      </c>
      <c r="L44" s="5">
        <v>5.68</v>
      </c>
      <c r="M44" s="5">
        <v>8.89</v>
      </c>
      <c r="N44" s="5">
        <v>12.18</v>
      </c>
      <c r="O44" s="6">
        <v>11.51</v>
      </c>
      <c r="P44" s="5">
        <v>3.36</v>
      </c>
      <c r="Q44" s="5">
        <v>2.92</v>
      </c>
      <c r="R44" s="5">
        <v>2.58</v>
      </c>
      <c r="S44" s="5">
        <v>2.65</v>
      </c>
    </row>
    <row r="45" spans="1:30" ht="16" x14ac:dyDescent="0.2">
      <c r="A45" s="2" t="s">
        <v>53</v>
      </c>
      <c r="B45" s="5">
        <v>0.6</v>
      </c>
      <c r="C45" s="5">
        <v>1.08</v>
      </c>
      <c r="D45" s="5">
        <v>1.31</v>
      </c>
      <c r="E45" s="5">
        <v>1.59</v>
      </c>
      <c r="F45" s="5">
        <v>2.0699999999999998</v>
      </c>
      <c r="G45" s="5">
        <v>2.38</v>
      </c>
      <c r="H45" s="5">
        <v>2.37</v>
      </c>
      <c r="I45" s="5">
        <v>3.75</v>
      </c>
      <c r="J45" s="5">
        <v>4.92</v>
      </c>
      <c r="K45" s="5">
        <v>5.0999999999999996</v>
      </c>
      <c r="L45" s="5">
        <v>5.68</v>
      </c>
      <c r="M45" s="5">
        <v>8.89</v>
      </c>
      <c r="N45" s="5">
        <v>12.18</v>
      </c>
      <c r="O45" s="6">
        <v>11.51</v>
      </c>
      <c r="P45" s="5">
        <v>3.36</v>
      </c>
      <c r="Q45" s="5">
        <v>2.92</v>
      </c>
      <c r="R45" s="5">
        <v>2.58</v>
      </c>
      <c r="S45" s="5">
        <v>2.65</v>
      </c>
    </row>
    <row r="46" spans="1:30" ht="16" x14ac:dyDescent="0.2">
      <c r="A46" s="2" t="s">
        <v>54</v>
      </c>
      <c r="B46" s="3">
        <v>299247000</v>
      </c>
      <c r="C46" s="3">
        <v>324892000</v>
      </c>
      <c r="D46" s="3">
        <v>395997000</v>
      </c>
      <c r="E46" s="3">
        <v>465510000</v>
      </c>
      <c r="F46" s="3">
        <v>587773000</v>
      </c>
      <c r="G46" s="3">
        <v>663583000</v>
      </c>
      <c r="H46" s="3">
        <v>673702000</v>
      </c>
      <c r="I46" s="3">
        <v>781649000</v>
      </c>
      <c r="J46" s="3">
        <v>1047408000</v>
      </c>
      <c r="K46" s="3">
        <v>1072387000</v>
      </c>
      <c r="L46" s="3">
        <v>1168149000</v>
      </c>
      <c r="M46" s="3">
        <v>1651501000</v>
      </c>
      <c r="N46" s="3">
        <v>2116698000</v>
      </c>
      <c r="O46" s="4">
        <v>1997098000</v>
      </c>
      <c r="P46" s="3">
        <v>496080000</v>
      </c>
      <c r="Q46" s="3">
        <v>502286000</v>
      </c>
      <c r="R46" s="3">
        <v>459000000</v>
      </c>
      <c r="S46" s="3">
        <v>471381000</v>
      </c>
    </row>
    <row r="47" spans="1:30" ht="16" x14ac:dyDescent="0.2">
      <c r="A47" s="2" t="s">
        <v>55</v>
      </c>
      <c r="B47" s="5">
        <v>20.21</v>
      </c>
      <c r="C47" s="5">
        <v>17.260000000000002</v>
      </c>
      <c r="D47" s="5">
        <v>18.760000000000002</v>
      </c>
      <c r="E47" s="5">
        <v>19.91</v>
      </c>
      <c r="F47" s="5">
        <v>21.08</v>
      </c>
      <c r="G47" s="5">
        <v>22.32</v>
      </c>
      <c r="H47" s="5">
        <v>22.52</v>
      </c>
      <c r="I47" s="5">
        <v>23.28</v>
      </c>
      <c r="J47" s="5">
        <v>25.9</v>
      </c>
      <c r="K47" s="5">
        <v>26.1</v>
      </c>
      <c r="L47" s="5">
        <v>29.09</v>
      </c>
      <c r="M47" s="5">
        <v>31.42</v>
      </c>
      <c r="N47" s="5">
        <v>33.81</v>
      </c>
      <c r="O47" s="6">
        <v>33.56</v>
      </c>
      <c r="P47" s="3" t="s">
        <v>24</v>
      </c>
      <c r="Q47" s="5">
        <v>33.81</v>
      </c>
      <c r="R47" s="5">
        <v>33.89</v>
      </c>
      <c r="S47" s="5">
        <v>33.56</v>
      </c>
    </row>
    <row r="48" spans="1:30" ht="16" x14ac:dyDescent="0.2">
      <c r="A48" s="2" t="s">
        <v>56</v>
      </c>
      <c r="B48" s="3">
        <v>218885000</v>
      </c>
      <c r="C48" s="3">
        <v>234072000</v>
      </c>
      <c r="D48" s="3">
        <v>285254000</v>
      </c>
      <c r="E48" s="3">
        <v>338438000</v>
      </c>
      <c r="F48" s="3">
        <v>441307000</v>
      </c>
      <c r="G48" s="3">
        <v>498240000</v>
      </c>
      <c r="H48" s="3">
        <v>483835000</v>
      </c>
      <c r="I48" s="3">
        <v>575886000</v>
      </c>
      <c r="J48" s="3">
        <v>817051000</v>
      </c>
      <c r="K48" s="3">
        <v>818706000</v>
      </c>
      <c r="L48" s="3">
        <v>906882000</v>
      </c>
      <c r="M48" s="3">
        <v>1391602000</v>
      </c>
      <c r="N48" s="3">
        <v>1840632000</v>
      </c>
      <c r="O48" s="4">
        <v>1700952000</v>
      </c>
      <c r="P48" s="3">
        <v>496080000</v>
      </c>
      <c r="Q48" s="3">
        <v>430229000</v>
      </c>
      <c r="R48" s="3">
        <v>383049000</v>
      </c>
      <c r="S48" s="3">
        <v>391594000</v>
      </c>
    </row>
    <row r="49" spans="1:19" ht="16" x14ac:dyDescent="0.2">
      <c r="A49" s="2" t="s">
        <v>57</v>
      </c>
      <c r="B49" s="3">
        <v>218885000</v>
      </c>
      <c r="C49" s="3">
        <v>234072000</v>
      </c>
      <c r="D49" s="3">
        <v>285254000</v>
      </c>
      <c r="E49" s="3">
        <v>338438000</v>
      </c>
      <c r="F49" s="3">
        <v>441307000</v>
      </c>
      <c r="G49" s="3">
        <v>498240000</v>
      </c>
      <c r="H49" s="3">
        <v>483835000</v>
      </c>
      <c r="I49" s="3">
        <v>575886000</v>
      </c>
      <c r="J49" s="3">
        <v>817051000</v>
      </c>
      <c r="K49" s="3">
        <v>818706000</v>
      </c>
      <c r="L49" s="3">
        <v>906882000</v>
      </c>
      <c r="M49" s="3">
        <v>1391602000</v>
      </c>
      <c r="N49" s="3">
        <v>1840632000</v>
      </c>
      <c r="O49" s="4">
        <v>1700952000</v>
      </c>
      <c r="P49" s="3">
        <v>496080000</v>
      </c>
      <c r="Q49" s="3">
        <v>430229000</v>
      </c>
      <c r="R49" s="3">
        <v>383049000</v>
      </c>
      <c r="S49" s="3">
        <v>391594000</v>
      </c>
    </row>
    <row r="50" spans="1:19" ht="16" x14ac:dyDescent="0.2">
      <c r="A50" s="2" t="s">
        <v>61</v>
      </c>
      <c r="B50" s="3">
        <v>132480</v>
      </c>
      <c r="C50" s="3">
        <v>156591</v>
      </c>
      <c r="D50" s="3">
        <v>162145</v>
      </c>
      <c r="E50" s="3">
        <v>166109</v>
      </c>
      <c r="F50" s="3">
        <v>169549</v>
      </c>
      <c r="G50" s="3">
        <v>165771</v>
      </c>
      <c r="H50" s="3">
        <v>170525</v>
      </c>
      <c r="I50" s="3">
        <v>175057</v>
      </c>
      <c r="J50" s="3">
        <v>190032</v>
      </c>
      <c r="K50" s="3">
        <v>204383</v>
      </c>
      <c r="L50" s="3">
        <v>203000</v>
      </c>
      <c r="M50" s="3">
        <v>222133</v>
      </c>
      <c r="N50" s="3">
        <v>266715</v>
      </c>
      <c r="O50" s="4">
        <v>253533</v>
      </c>
      <c r="P50" s="3">
        <v>67772</v>
      </c>
      <c r="Q50" s="3">
        <v>63553</v>
      </c>
      <c r="R50" s="3">
        <v>61443</v>
      </c>
      <c r="S50" s="3">
        <v>60210</v>
      </c>
    </row>
    <row r="51" spans="1:19" ht="16" x14ac:dyDescent="0.2">
      <c r="A51" s="2" t="s">
        <v>62</v>
      </c>
      <c r="B51" s="3" t="s">
        <v>24</v>
      </c>
      <c r="C51" s="3" t="s">
        <v>24</v>
      </c>
      <c r="D51" s="3" t="s">
        <v>24</v>
      </c>
      <c r="E51" s="3" t="s">
        <v>24</v>
      </c>
      <c r="F51" s="3" t="s">
        <v>24</v>
      </c>
      <c r="G51" s="3" t="s">
        <v>24</v>
      </c>
      <c r="H51" s="3" t="s">
        <v>24</v>
      </c>
      <c r="I51" s="5">
        <v>0.27</v>
      </c>
      <c r="J51" s="5">
        <v>0.35</v>
      </c>
      <c r="K51" s="5">
        <v>0.45</v>
      </c>
      <c r="L51" s="5">
        <v>0.6</v>
      </c>
      <c r="M51" s="5">
        <v>0.8</v>
      </c>
      <c r="N51" s="5">
        <v>1.2</v>
      </c>
      <c r="O51" s="6">
        <v>1.4</v>
      </c>
      <c r="P51" s="3" t="s">
        <v>24</v>
      </c>
      <c r="Q51" s="5">
        <v>0.3</v>
      </c>
      <c r="R51" s="5">
        <v>0.4</v>
      </c>
      <c r="S51" s="5">
        <v>0.4</v>
      </c>
    </row>
    <row r="52" spans="1:19" ht="16" x14ac:dyDescent="0.2">
      <c r="A52" s="2" t="s">
        <v>63</v>
      </c>
      <c r="B52" s="3">
        <v>80362000</v>
      </c>
      <c r="C52" s="3">
        <v>90820000</v>
      </c>
      <c r="D52" s="3">
        <v>110743000</v>
      </c>
      <c r="E52" s="3">
        <v>127072000</v>
      </c>
      <c r="F52" s="3">
        <v>146466000</v>
      </c>
      <c r="G52" s="3">
        <v>165343000</v>
      </c>
      <c r="H52" s="3">
        <v>189867000</v>
      </c>
      <c r="I52" s="3">
        <v>205763000</v>
      </c>
      <c r="J52" s="3">
        <v>230357000</v>
      </c>
      <c r="K52" s="3">
        <v>253681000</v>
      </c>
      <c r="L52" s="3">
        <v>261267000</v>
      </c>
      <c r="M52" s="3">
        <v>259899000</v>
      </c>
      <c r="N52" s="3">
        <v>276066000</v>
      </c>
      <c r="O52" s="4">
        <v>296146000</v>
      </c>
      <c r="P52" s="3" t="s">
        <v>24</v>
      </c>
      <c r="Q52" s="3">
        <v>72057000</v>
      </c>
      <c r="R52" s="3">
        <v>75951000</v>
      </c>
      <c r="S52" s="3">
        <v>79787000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222582000</v>
      </c>
      <c r="C55" s="3">
        <v>331852000</v>
      </c>
      <c r="D55" s="3">
        <v>275028000</v>
      </c>
      <c r="E55" s="3">
        <v>332979000</v>
      </c>
      <c r="F55" s="3">
        <v>433143000</v>
      </c>
      <c r="G55" s="3">
        <v>381730000</v>
      </c>
      <c r="H55" s="3">
        <v>382622000</v>
      </c>
      <c r="I55" s="3">
        <v>584653000</v>
      </c>
      <c r="J55" s="3">
        <v>706229000</v>
      </c>
      <c r="K55" s="3">
        <v>866834000</v>
      </c>
      <c r="L55" s="3">
        <v>1243339000</v>
      </c>
      <c r="M55" s="3">
        <v>1383787000</v>
      </c>
      <c r="N55" s="3">
        <v>933740000</v>
      </c>
      <c r="O55" s="4">
        <v>730609000</v>
      </c>
      <c r="P55" s="3" t="s">
        <v>24</v>
      </c>
      <c r="Q55" s="3">
        <v>933740000</v>
      </c>
      <c r="R55" s="3">
        <v>896950000</v>
      </c>
      <c r="S55" s="3">
        <v>730609000</v>
      </c>
    </row>
    <row r="56" spans="1:19" ht="16" x14ac:dyDescent="0.2">
      <c r="A56" s="2" t="s">
        <v>65</v>
      </c>
      <c r="B56" s="3">
        <v>5450000</v>
      </c>
      <c r="C56" s="3">
        <v>75850000</v>
      </c>
      <c r="D56" s="3">
        <v>12857000</v>
      </c>
      <c r="E56" s="3">
        <v>30174000</v>
      </c>
      <c r="F56" s="3">
        <v>34787000</v>
      </c>
      <c r="G56" s="3">
        <v>11472000</v>
      </c>
      <c r="H56" s="3">
        <v>10171000</v>
      </c>
      <c r="I56" s="3">
        <v>127462000</v>
      </c>
      <c r="J56" s="3">
        <v>190282000</v>
      </c>
      <c r="K56" s="3">
        <v>403571000</v>
      </c>
      <c r="L56" s="3">
        <v>731704000</v>
      </c>
      <c r="M56" s="3">
        <v>716997000</v>
      </c>
      <c r="N56" s="3">
        <v>235667000</v>
      </c>
      <c r="O56" s="4">
        <v>55141000</v>
      </c>
      <c r="P56" s="3" t="s">
        <v>24</v>
      </c>
      <c r="Q56" s="3">
        <v>235667000</v>
      </c>
      <c r="R56" s="3">
        <v>232431000</v>
      </c>
      <c r="S56" s="3">
        <v>55141000</v>
      </c>
    </row>
    <row r="57" spans="1:19" ht="16" x14ac:dyDescent="0.2">
      <c r="A57" s="2" t="s">
        <v>66</v>
      </c>
      <c r="B57" s="3">
        <v>5450000</v>
      </c>
      <c r="C57" s="3">
        <v>75850000</v>
      </c>
      <c r="D57" s="3">
        <v>12857000</v>
      </c>
      <c r="E57" s="3">
        <v>30174000</v>
      </c>
      <c r="F57" s="3">
        <v>34787000</v>
      </c>
      <c r="G57" s="3">
        <v>11472000</v>
      </c>
      <c r="H57" s="3">
        <v>10171000</v>
      </c>
      <c r="I57" s="3">
        <v>127462000</v>
      </c>
      <c r="J57" s="3">
        <v>190282000</v>
      </c>
      <c r="K57" s="3">
        <v>403571000</v>
      </c>
      <c r="L57" s="3">
        <v>401430000</v>
      </c>
      <c r="M57" s="3">
        <v>462564000</v>
      </c>
      <c r="N57" s="3">
        <v>186312000</v>
      </c>
      <c r="O57" s="4">
        <v>55141000</v>
      </c>
      <c r="P57" s="3" t="s">
        <v>24</v>
      </c>
      <c r="Q57" s="3">
        <v>186312000</v>
      </c>
      <c r="R57" s="3">
        <v>207624000</v>
      </c>
      <c r="S57" s="3">
        <v>55141000</v>
      </c>
    </row>
    <row r="58" spans="1:19" ht="16" x14ac:dyDescent="0.2">
      <c r="A58" s="2" t="s">
        <v>67</v>
      </c>
      <c r="B58" s="3" t="s">
        <v>24</v>
      </c>
      <c r="C58" s="3" t="s">
        <v>24</v>
      </c>
      <c r="D58" s="3" t="s">
        <v>24</v>
      </c>
      <c r="E58" s="3" t="s">
        <v>24</v>
      </c>
      <c r="F58" s="3" t="s">
        <v>24</v>
      </c>
      <c r="G58" s="3" t="s">
        <v>24</v>
      </c>
      <c r="H58" s="3" t="s">
        <v>24</v>
      </c>
      <c r="I58" s="3" t="s">
        <v>24</v>
      </c>
      <c r="J58" s="3" t="s">
        <v>24</v>
      </c>
      <c r="K58" s="3" t="s">
        <v>24</v>
      </c>
      <c r="L58" s="3">
        <v>330274000</v>
      </c>
      <c r="M58" s="3">
        <v>254433000</v>
      </c>
      <c r="N58" s="3">
        <v>49355000</v>
      </c>
      <c r="O58" s="4" t="s">
        <v>24</v>
      </c>
      <c r="P58" s="3" t="s">
        <v>24</v>
      </c>
      <c r="Q58" s="3">
        <v>49355000</v>
      </c>
      <c r="R58" s="3">
        <v>24807000</v>
      </c>
      <c r="S58" s="3" t="s">
        <v>24</v>
      </c>
    </row>
    <row r="59" spans="1:19" ht="16" x14ac:dyDescent="0.2">
      <c r="A59" s="2" t="s">
        <v>68</v>
      </c>
      <c r="B59" s="3">
        <v>180700000</v>
      </c>
      <c r="C59" s="3">
        <v>217922000</v>
      </c>
      <c r="D59" s="3">
        <v>220363000</v>
      </c>
      <c r="E59" s="3">
        <v>258294000</v>
      </c>
      <c r="F59" s="3">
        <v>347900000</v>
      </c>
      <c r="G59" s="3">
        <v>345048000</v>
      </c>
      <c r="H59" s="3">
        <v>334489000</v>
      </c>
      <c r="I59" s="3">
        <v>415781000</v>
      </c>
      <c r="J59" s="3">
        <v>468260000</v>
      </c>
      <c r="K59" s="3">
        <v>408165000</v>
      </c>
      <c r="L59" s="3">
        <v>454222000</v>
      </c>
      <c r="M59" s="3">
        <v>599102000</v>
      </c>
      <c r="N59" s="3">
        <v>605129000</v>
      </c>
      <c r="O59" s="4">
        <v>568746000</v>
      </c>
      <c r="P59" s="3" t="s">
        <v>24</v>
      </c>
      <c r="Q59" s="3">
        <v>605129000</v>
      </c>
      <c r="R59" s="3">
        <v>579879000</v>
      </c>
      <c r="S59" s="3">
        <v>568746000</v>
      </c>
    </row>
    <row r="60" spans="1:19" ht="16" x14ac:dyDescent="0.2">
      <c r="A60" s="2" t="s">
        <v>69</v>
      </c>
      <c r="B60" s="3">
        <v>172989000</v>
      </c>
      <c r="C60" s="3">
        <v>213481000</v>
      </c>
      <c r="D60" s="3">
        <v>219039000</v>
      </c>
      <c r="E60" s="3">
        <v>248069000</v>
      </c>
      <c r="F60" s="3">
        <v>303170000</v>
      </c>
      <c r="G60" s="3">
        <v>310501000</v>
      </c>
      <c r="H60" s="3">
        <v>320087000</v>
      </c>
      <c r="I60" s="3">
        <v>394169000</v>
      </c>
      <c r="J60" s="3">
        <v>427569000</v>
      </c>
      <c r="K60" s="3">
        <v>397579000</v>
      </c>
      <c r="L60" s="3">
        <v>444653000</v>
      </c>
      <c r="M60" s="3">
        <v>567474000</v>
      </c>
      <c r="N60" s="3">
        <v>578648000</v>
      </c>
      <c r="O60" s="4">
        <v>543767000</v>
      </c>
      <c r="P60" s="3" t="s">
        <v>24</v>
      </c>
      <c r="Q60" s="3">
        <v>578648000</v>
      </c>
      <c r="R60" s="3">
        <v>564490000</v>
      </c>
      <c r="S60" s="3">
        <v>543767000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7711000</v>
      </c>
      <c r="C63" s="3">
        <v>4441000</v>
      </c>
      <c r="D63" s="3">
        <v>1324000</v>
      </c>
      <c r="E63" s="3">
        <v>10225000</v>
      </c>
      <c r="F63" s="3">
        <v>44730000</v>
      </c>
      <c r="G63" s="3">
        <v>34547000</v>
      </c>
      <c r="H63" s="3">
        <v>14402000</v>
      </c>
      <c r="I63" s="3">
        <v>21612000</v>
      </c>
      <c r="J63" s="3">
        <v>40691000</v>
      </c>
      <c r="K63" s="3">
        <v>10586000</v>
      </c>
      <c r="L63" s="3">
        <v>9569000</v>
      </c>
      <c r="M63" s="3">
        <v>31628000</v>
      </c>
      <c r="N63" s="3">
        <v>26481000</v>
      </c>
      <c r="O63" s="4">
        <v>24979000</v>
      </c>
      <c r="P63" s="3" t="s">
        <v>24</v>
      </c>
      <c r="Q63" s="3">
        <v>26481000</v>
      </c>
      <c r="R63" s="3">
        <v>15389000</v>
      </c>
      <c r="S63" s="3">
        <v>24979000</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36432000</v>
      </c>
      <c r="C70" s="3">
        <v>38080000</v>
      </c>
      <c r="D70" s="3">
        <v>41808000</v>
      </c>
      <c r="E70" s="3">
        <v>44511000</v>
      </c>
      <c r="F70" s="3">
        <v>50456000</v>
      </c>
      <c r="G70" s="3">
        <v>25210000</v>
      </c>
      <c r="H70" s="3">
        <v>37962000</v>
      </c>
      <c r="I70" s="3">
        <v>41410000</v>
      </c>
      <c r="J70" s="3">
        <v>47687000</v>
      </c>
      <c r="K70" s="3">
        <v>55098000</v>
      </c>
      <c r="L70" s="3">
        <v>57413000</v>
      </c>
      <c r="M70" s="3">
        <v>67688000</v>
      </c>
      <c r="N70" s="3">
        <v>92944000</v>
      </c>
      <c r="O70" s="4">
        <v>106722000</v>
      </c>
      <c r="P70" s="3" t="s">
        <v>24</v>
      </c>
      <c r="Q70" s="3">
        <v>92944000</v>
      </c>
      <c r="R70" s="3">
        <v>84640000</v>
      </c>
      <c r="S70" s="3">
        <v>106722000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1017299000</v>
      </c>
      <c r="C76" s="3">
        <v>1181222000</v>
      </c>
      <c r="D76" s="3">
        <v>1437486000</v>
      </c>
      <c r="E76" s="3">
        <v>1599110000</v>
      </c>
      <c r="F76" s="3">
        <v>1803094000</v>
      </c>
      <c r="G76" s="3">
        <v>2084774000</v>
      </c>
      <c r="H76" s="3">
        <v>2313625000</v>
      </c>
      <c r="I76" s="3">
        <v>2483771000</v>
      </c>
      <c r="J76" s="3">
        <v>2839054000</v>
      </c>
      <c r="K76" s="3">
        <v>3128734000</v>
      </c>
      <c r="L76" s="3">
        <v>3126071000</v>
      </c>
      <c r="M76" s="3">
        <v>3437757000</v>
      </c>
      <c r="N76" s="3">
        <v>3904870000</v>
      </c>
      <c r="O76" s="4">
        <v>4248323000</v>
      </c>
      <c r="P76" s="3" t="s">
        <v>24</v>
      </c>
      <c r="Q76" s="3">
        <v>3904870000</v>
      </c>
      <c r="R76" s="3">
        <v>4060138000</v>
      </c>
      <c r="S76" s="3">
        <v>4248323000</v>
      </c>
    </row>
    <row r="77" spans="1:19" ht="16" x14ac:dyDescent="0.2">
      <c r="A77" s="2" t="s">
        <v>86</v>
      </c>
      <c r="B77" s="3">
        <v>964216000</v>
      </c>
      <c r="C77" s="3">
        <v>1126950000</v>
      </c>
      <c r="D77" s="3">
        <v>1379305000</v>
      </c>
      <c r="E77" s="3">
        <v>1543059000</v>
      </c>
      <c r="F77" s="3">
        <v>1743245000</v>
      </c>
      <c r="G77" s="3">
        <v>2023448000</v>
      </c>
      <c r="H77" s="3">
        <v>2241402000</v>
      </c>
      <c r="I77" s="3">
        <v>2404459000</v>
      </c>
      <c r="J77" s="3">
        <v>2754943000</v>
      </c>
      <c r="K77" s="3">
        <v>2968835000</v>
      </c>
      <c r="L77" s="3">
        <v>2914031000</v>
      </c>
      <c r="M77" s="3">
        <v>3215686000</v>
      </c>
      <c r="N77" s="3">
        <v>3687068000</v>
      </c>
      <c r="O77" s="4">
        <v>4001099000</v>
      </c>
      <c r="P77" s="3" t="s">
        <v>24</v>
      </c>
      <c r="Q77" s="3">
        <v>3687068000</v>
      </c>
      <c r="R77" s="3">
        <v>3841464000</v>
      </c>
      <c r="S77" s="3">
        <v>4001099000</v>
      </c>
    </row>
    <row r="78" spans="1:19" ht="16" x14ac:dyDescent="0.2">
      <c r="A78" s="2" t="s">
        <v>87</v>
      </c>
      <c r="B78" s="3">
        <v>1544519000</v>
      </c>
      <c r="C78" s="3">
        <v>1748932000</v>
      </c>
      <c r="D78" s="3">
        <v>2028224000</v>
      </c>
      <c r="E78" s="3">
        <v>2273133000</v>
      </c>
      <c r="F78" s="3">
        <v>2574772000</v>
      </c>
      <c r="G78" s="3">
        <v>2952825000</v>
      </c>
      <c r="H78" s="3">
        <v>3284984000</v>
      </c>
      <c r="I78" s="3">
        <v>3579929000</v>
      </c>
      <c r="J78" s="3">
        <v>4073152000</v>
      </c>
      <c r="K78" s="3">
        <v>4433070000</v>
      </c>
      <c r="L78" s="3">
        <v>4591429000</v>
      </c>
      <c r="M78" s="3">
        <v>5135625000</v>
      </c>
      <c r="N78" s="3">
        <v>5816053000</v>
      </c>
      <c r="O78" s="4">
        <v>6147165000</v>
      </c>
      <c r="P78" s="3" t="s">
        <v>24</v>
      </c>
      <c r="Q78" s="3">
        <v>5816053000</v>
      </c>
      <c r="R78" s="3">
        <v>6009936000</v>
      </c>
      <c r="S78" s="3">
        <v>6147165000</v>
      </c>
    </row>
    <row r="79" spans="1:19" ht="16" x14ac:dyDescent="0.2">
      <c r="A79" s="2" t="s">
        <v>88</v>
      </c>
      <c r="B79" s="3">
        <v>580303000</v>
      </c>
      <c r="C79" s="3">
        <v>621982000</v>
      </c>
      <c r="D79" s="3">
        <v>648919000</v>
      </c>
      <c r="E79" s="3">
        <v>730074000</v>
      </c>
      <c r="F79" s="3">
        <v>831527000</v>
      </c>
      <c r="G79" s="3">
        <v>929377000</v>
      </c>
      <c r="H79" s="3">
        <v>1043582000</v>
      </c>
      <c r="I79" s="3">
        <v>1175470000</v>
      </c>
      <c r="J79" s="3">
        <v>1318209000</v>
      </c>
      <c r="K79" s="3">
        <v>1464235000</v>
      </c>
      <c r="L79" s="3">
        <v>1677398000</v>
      </c>
      <c r="M79" s="3">
        <v>1919939000</v>
      </c>
      <c r="N79" s="3">
        <v>2128985000</v>
      </c>
      <c r="O79" s="4">
        <v>2146066000</v>
      </c>
      <c r="P79" s="3" t="s">
        <v>24</v>
      </c>
      <c r="Q79" s="3">
        <v>2128985000</v>
      </c>
      <c r="R79" s="3">
        <v>2168472000</v>
      </c>
      <c r="S79" s="3">
        <v>2146066000</v>
      </c>
    </row>
    <row r="80" spans="1:19" ht="16" x14ac:dyDescent="0.2">
      <c r="A80" s="2" t="s">
        <v>89</v>
      </c>
      <c r="B80" s="3" t="s">
        <v>24</v>
      </c>
      <c r="C80" s="3" t="s">
        <v>24</v>
      </c>
      <c r="D80" s="3" t="s">
        <v>24</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2" t="s">
        <v>90</v>
      </c>
      <c r="B81" s="3" t="s">
        <v>24</v>
      </c>
      <c r="C81" s="3" t="s">
        <v>24</v>
      </c>
      <c r="D81" s="3" t="s">
        <v>24</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53083000</v>
      </c>
      <c r="C83" s="3">
        <v>54272000</v>
      </c>
      <c r="D83" s="3">
        <v>58181000</v>
      </c>
      <c r="E83" s="3">
        <v>56051000</v>
      </c>
      <c r="F83" s="3">
        <v>59849000</v>
      </c>
      <c r="G83" s="3">
        <v>61326000</v>
      </c>
      <c r="H83" s="3">
        <v>72223000</v>
      </c>
      <c r="I83" s="3">
        <v>79312000</v>
      </c>
      <c r="J83" s="3">
        <v>84111000</v>
      </c>
      <c r="K83" s="3">
        <v>159899000</v>
      </c>
      <c r="L83" s="3">
        <v>212040000</v>
      </c>
      <c r="M83" s="3">
        <v>222071000</v>
      </c>
      <c r="N83" s="3">
        <v>217802000</v>
      </c>
      <c r="O83" s="4">
        <v>247224000</v>
      </c>
      <c r="P83" s="3" t="s">
        <v>24</v>
      </c>
      <c r="Q83" s="3">
        <v>217802000</v>
      </c>
      <c r="R83" s="3">
        <v>218674000</v>
      </c>
      <c r="S83" s="3">
        <v>247224000</v>
      </c>
    </row>
    <row r="84" spans="1:19" ht="16" x14ac:dyDescent="0.2">
      <c r="A84" s="2" t="s">
        <v>93</v>
      </c>
      <c r="B84" s="3">
        <v>19463000</v>
      </c>
      <c r="C84" s="3">
        <v>19463000</v>
      </c>
      <c r="D84" s="3">
        <v>19463000</v>
      </c>
      <c r="E84" s="3">
        <v>19463000</v>
      </c>
      <c r="F84" s="3">
        <v>19463000</v>
      </c>
      <c r="G84" s="3">
        <v>19463000</v>
      </c>
      <c r="H84" s="3">
        <v>19463000</v>
      </c>
      <c r="I84" s="3">
        <v>19463000</v>
      </c>
      <c r="J84" s="3">
        <v>19463000</v>
      </c>
      <c r="K84" s="3">
        <v>19463000</v>
      </c>
      <c r="L84" s="3" t="s">
        <v>24</v>
      </c>
      <c r="M84" s="3" t="s">
        <v>24</v>
      </c>
      <c r="N84" s="3" t="s">
        <v>24</v>
      </c>
      <c r="O84" s="4" t="s">
        <v>24</v>
      </c>
      <c r="P84" s="3" t="s">
        <v>24</v>
      </c>
      <c r="Q84" s="3" t="s">
        <v>24</v>
      </c>
      <c r="R84" s="3" t="s">
        <v>24</v>
      </c>
      <c r="S84" s="3" t="s">
        <v>24</v>
      </c>
    </row>
    <row r="85" spans="1:19" ht="16" x14ac:dyDescent="0.2">
      <c r="A85" s="2" t="s">
        <v>94</v>
      </c>
      <c r="B85" s="3">
        <v>19463000</v>
      </c>
      <c r="C85" s="3">
        <v>19463000</v>
      </c>
      <c r="D85" s="3">
        <v>19463000</v>
      </c>
      <c r="E85" s="3">
        <v>19463000</v>
      </c>
      <c r="F85" s="3">
        <v>19463000</v>
      </c>
      <c r="G85" s="3">
        <v>19463000</v>
      </c>
      <c r="H85" s="3">
        <v>19463000</v>
      </c>
      <c r="I85" s="3">
        <v>19463000</v>
      </c>
      <c r="J85" s="3">
        <v>19463000</v>
      </c>
      <c r="K85" s="3">
        <v>19463000</v>
      </c>
      <c r="L85" s="3" t="s">
        <v>24</v>
      </c>
      <c r="M85" s="3" t="s">
        <v>24</v>
      </c>
      <c r="N85" s="3" t="s">
        <v>24</v>
      </c>
      <c r="O85" s="4" t="s">
        <v>24</v>
      </c>
      <c r="P85" s="3" t="s">
        <v>24</v>
      </c>
      <c r="Q85" s="3" t="s">
        <v>24</v>
      </c>
      <c r="R85" s="3" t="s">
        <v>24</v>
      </c>
      <c r="S85" s="3" t="s">
        <v>24</v>
      </c>
    </row>
    <row r="86" spans="1:19" ht="16" x14ac:dyDescent="0.2">
      <c r="A86" s="2" t="s">
        <v>95</v>
      </c>
      <c r="B86" s="3" t="s">
        <v>24</v>
      </c>
      <c r="C86" s="3" t="s">
        <v>24</v>
      </c>
      <c r="D86" s="3" t="s">
        <v>24</v>
      </c>
      <c r="E86" s="3" t="s">
        <v>24</v>
      </c>
      <c r="F86" s="3" t="s">
        <v>24</v>
      </c>
      <c r="G86" s="3" t="s">
        <v>24</v>
      </c>
      <c r="H86" s="3" t="s">
        <v>24</v>
      </c>
      <c r="I86" s="3" t="s">
        <v>24</v>
      </c>
      <c r="J86" s="3" t="s">
        <v>24</v>
      </c>
      <c r="K86" s="3" t="s">
        <v>24</v>
      </c>
      <c r="L86" s="3" t="s">
        <v>24</v>
      </c>
      <c r="M86" s="3" t="s">
        <v>24</v>
      </c>
      <c r="N86" s="3" t="s">
        <v>24</v>
      </c>
      <c r="O86" s="4" t="s">
        <v>24</v>
      </c>
      <c r="P86" s="3" t="s">
        <v>24</v>
      </c>
      <c r="Q86" s="3" t="s">
        <v>24</v>
      </c>
      <c r="R86" s="3" t="s">
        <v>24</v>
      </c>
      <c r="S86" s="3" t="s">
        <v>24</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33620000</v>
      </c>
      <c r="C89" s="3">
        <v>34809000</v>
      </c>
      <c r="D89" s="3">
        <v>38718000</v>
      </c>
      <c r="E89" s="3">
        <v>36588000</v>
      </c>
      <c r="F89" s="3">
        <v>40386000</v>
      </c>
      <c r="G89" s="3">
        <v>41863000</v>
      </c>
      <c r="H89" s="3">
        <v>52760000</v>
      </c>
      <c r="I89" s="3">
        <v>59849000</v>
      </c>
      <c r="J89" s="3">
        <v>64648000</v>
      </c>
      <c r="K89" s="3">
        <v>140436000</v>
      </c>
      <c r="L89" s="3">
        <v>212040000</v>
      </c>
      <c r="M89" s="3">
        <v>222071000</v>
      </c>
      <c r="N89" s="3">
        <v>217802000</v>
      </c>
      <c r="O89" s="4">
        <v>247224000</v>
      </c>
      <c r="P89" s="3" t="s">
        <v>24</v>
      </c>
      <c r="Q89" s="3">
        <v>217802000</v>
      </c>
      <c r="R89" s="3">
        <v>218674000</v>
      </c>
      <c r="S89" s="3">
        <v>247224000</v>
      </c>
    </row>
    <row r="90" spans="1:19" ht="16" x14ac:dyDescent="0.2">
      <c r="A90" s="2" t="s">
        <v>99</v>
      </c>
      <c r="B90" s="3">
        <v>1239881000</v>
      </c>
      <c r="C90" s="3">
        <v>1513074000</v>
      </c>
      <c r="D90" s="3">
        <v>1712514000</v>
      </c>
      <c r="E90" s="3">
        <v>1932089000</v>
      </c>
      <c r="F90" s="3">
        <v>2236237000</v>
      </c>
      <c r="G90" s="3">
        <v>2466504000</v>
      </c>
      <c r="H90" s="3">
        <v>2696247000</v>
      </c>
      <c r="I90" s="3">
        <v>3068424000</v>
      </c>
      <c r="J90" s="3">
        <v>3545283000</v>
      </c>
      <c r="K90" s="3">
        <v>3995568000</v>
      </c>
      <c r="L90" s="3">
        <v>4369410000</v>
      </c>
      <c r="M90" s="3">
        <v>4821544000</v>
      </c>
      <c r="N90" s="3">
        <v>4838610000</v>
      </c>
      <c r="O90" s="4">
        <v>4978932000</v>
      </c>
      <c r="P90" s="3" t="s">
        <v>24</v>
      </c>
      <c r="Q90" s="3">
        <v>4838610000</v>
      </c>
      <c r="R90" s="3">
        <v>4957088000</v>
      </c>
      <c r="S90" s="3">
        <v>4978932000</v>
      </c>
    </row>
    <row r="91" spans="1:19" ht="16" x14ac:dyDescent="0.2">
      <c r="A91" s="2" t="s">
        <v>100</v>
      </c>
      <c r="B91" s="3">
        <v>81561000</v>
      </c>
      <c r="C91" s="3">
        <v>98716000</v>
      </c>
      <c r="D91" s="3">
        <v>106114000</v>
      </c>
      <c r="E91" s="3">
        <v>99220000</v>
      </c>
      <c r="F91" s="3">
        <v>113724000</v>
      </c>
      <c r="G91" s="3">
        <v>134325000</v>
      </c>
      <c r="H91" s="3">
        <v>159466000</v>
      </c>
      <c r="I91" s="3">
        <v>148483000</v>
      </c>
      <c r="J91" s="3">
        <v>158276000</v>
      </c>
      <c r="K91" s="3">
        <v>173561000</v>
      </c>
      <c r="L91" s="3">
        <v>181827000</v>
      </c>
      <c r="M91" s="3">
        <v>206329000</v>
      </c>
      <c r="N91" s="3">
        <v>221515000</v>
      </c>
      <c r="O91" s="4">
        <v>233096000</v>
      </c>
      <c r="P91" s="3" t="s">
        <v>24</v>
      </c>
      <c r="Q91" s="3">
        <v>221515000</v>
      </c>
      <c r="R91" s="3">
        <v>328981000</v>
      </c>
      <c r="S91" s="3">
        <v>233096000</v>
      </c>
    </row>
    <row r="92" spans="1:19" ht="16" x14ac:dyDescent="0.2">
      <c r="A92" s="2" t="s">
        <v>101</v>
      </c>
      <c r="B92" s="3">
        <v>29221000</v>
      </c>
      <c r="C92" s="3">
        <v>42096000</v>
      </c>
      <c r="D92" s="3">
        <v>44891000</v>
      </c>
      <c r="E92" s="3">
        <v>36788000</v>
      </c>
      <c r="F92" s="3">
        <v>45314000</v>
      </c>
      <c r="G92" s="3">
        <v>66774000</v>
      </c>
      <c r="H92" s="3">
        <v>89216000</v>
      </c>
      <c r="I92" s="3">
        <v>73729000</v>
      </c>
      <c r="J92" s="3">
        <v>78518000</v>
      </c>
      <c r="K92" s="3">
        <v>70254000</v>
      </c>
      <c r="L92" s="3">
        <v>68511000</v>
      </c>
      <c r="M92" s="3">
        <v>82519000</v>
      </c>
      <c r="N92" s="3">
        <v>106275000</v>
      </c>
      <c r="O92" s="4">
        <v>96661000</v>
      </c>
      <c r="P92" s="3" t="s">
        <v>24</v>
      </c>
      <c r="Q92" s="3">
        <v>106275000</v>
      </c>
      <c r="R92" s="3">
        <v>119773000</v>
      </c>
      <c r="S92" s="3">
        <v>96661000</v>
      </c>
    </row>
    <row r="93" spans="1:19" ht="16" x14ac:dyDescent="0.2">
      <c r="A93" s="2" t="s">
        <v>102</v>
      </c>
      <c r="B93" s="3" t="s">
        <v>24</v>
      </c>
      <c r="C93" s="3">
        <v>32000</v>
      </c>
      <c r="D93" s="3">
        <v>6327000</v>
      </c>
      <c r="E93" s="3">
        <v>2168000</v>
      </c>
      <c r="F93" s="3" t="s">
        <v>24</v>
      </c>
      <c r="G93" s="3" t="s">
        <v>24</v>
      </c>
      <c r="H93" s="3" t="s">
        <v>24</v>
      </c>
      <c r="I93" s="3" t="s">
        <v>24</v>
      </c>
      <c r="J93" s="3" t="s">
        <v>24</v>
      </c>
      <c r="K93" s="3">
        <v>2847000</v>
      </c>
      <c r="L93" s="3">
        <v>8711000</v>
      </c>
      <c r="M93" s="3" t="s">
        <v>24</v>
      </c>
      <c r="N93" s="3" t="s">
        <v>24</v>
      </c>
      <c r="O93" s="4" t="s">
        <v>24</v>
      </c>
      <c r="P93" s="3" t="s">
        <v>24</v>
      </c>
      <c r="Q93" s="3" t="s">
        <v>24</v>
      </c>
      <c r="R93" s="3">
        <v>82868000</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52340000</v>
      </c>
      <c r="C95" s="3">
        <v>56588000</v>
      </c>
      <c r="D95" s="3">
        <v>54896000</v>
      </c>
      <c r="E95" s="3">
        <v>60264000</v>
      </c>
      <c r="F95" s="3">
        <v>68410000</v>
      </c>
      <c r="G95" s="3">
        <v>67551000</v>
      </c>
      <c r="H95" s="3">
        <v>70250000</v>
      </c>
      <c r="I95" s="3">
        <v>74754000</v>
      </c>
      <c r="J95" s="3">
        <v>79758000</v>
      </c>
      <c r="K95" s="3">
        <v>100460000</v>
      </c>
      <c r="L95" s="3">
        <v>104605000</v>
      </c>
      <c r="M95" s="3">
        <v>123810000</v>
      </c>
      <c r="N95" s="3">
        <v>115240000</v>
      </c>
      <c r="O95" s="4">
        <v>136435000</v>
      </c>
      <c r="P95" s="3" t="s">
        <v>24</v>
      </c>
      <c r="Q95" s="3">
        <v>115240000</v>
      </c>
      <c r="R95" s="3">
        <v>126340000</v>
      </c>
      <c r="S95" s="3">
        <v>136435000</v>
      </c>
    </row>
    <row r="96" spans="1:19" ht="16" x14ac:dyDescent="0.2">
      <c r="A96" s="2" t="s">
        <v>105</v>
      </c>
      <c r="B96" s="3">
        <v>37130000</v>
      </c>
      <c r="C96" s="3">
        <v>39354000</v>
      </c>
      <c r="D96" s="3">
        <v>38978000</v>
      </c>
      <c r="E96" s="3">
        <v>35715000</v>
      </c>
      <c r="F96" s="3">
        <v>35714000</v>
      </c>
      <c r="G96" s="3">
        <v>26488000</v>
      </c>
      <c r="H96" s="3">
        <v>0</v>
      </c>
      <c r="I96" s="3">
        <v>50000000</v>
      </c>
      <c r="J96" s="3">
        <v>0</v>
      </c>
      <c r="K96" s="3">
        <v>0</v>
      </c>
      <c r="L96" s="3">
        <v>0</v>
      </c>
      <c r="M96" s="3">
        <v>0</v>
      </c>
      <c r="N96" s="3">
        <v>20000000</v>
      </c>
      <c r="O96" s="4">
        <v>20000000</v>
      </c>
      <c r="P96" s="3" t="s">
        <v>24</v>
      </c>
      <c r="Q96" s="3">
        <v>20000000</v>
      </c>
      <c r="R96" s="3">
        <v>20000000</v>
      </c>
      <c r="S96" s="3">
        <v>20000000</v>
      </c>
    </row>
    <row r="97" spans="1:19" ht="16" x14ac:dyDescent="0.2">
      <c r="A97" s="2" t="s">
        <v>106</v>
      </c>
      <c r="B97" s="3">
        <v>37130000</v>
      </c>
      <c r="C97" s="3">
        <v>39354000</v>
      </c>
      <c r="D97" s="3">
        <v>38978000</v>
      </c>
      <c r="E97" s="3">
        <v>35715000</v>
      </c>
      <c r="F97" s="3">
        <v>35714000</v>
      </c>
      <c r="G97" s="3">
        <v>26488000</v>
      </c>
      <c r="H97" s="3" t="s">
        <v>24</v>
      </c>
      <c r="I97" s="3">
        <v>50000000</v>
      </c>
      <c r="J97" s="3" t="s">
        <v>24</v>
      </c>
      <c r="K97" s="3" t="s">
        <v>24</v>
      </c>
      <c r="L97" s="3" t="s">
        <v>24</v>
      </c>
      <c r="M97" s="3" t="s">
        <v>24</v>
      </c>
      <c r="N97" s="3">
        <v>20000000</v>
      </c>
      <c r="O97" s="4">
        <v>20000000</v>
      </c>
      <c r="P97" s="3" t="s">
        <v>24</v>
      </c>
      <c r="Q97" s="3">
        <v>20000000</v>
      </c>
      <c r="R97" s="3">
        <v>20000000</v>
      </c>
      <c r="S97" s="3">
        <v>20000000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51355000</v>
      </c>
      <c r="C99" s="3">
        <v>66740000</v>
      </c>
      <c r="D99" s="3">
        <v>80047000</v>
      </c>
      <c r="E99" s="3">
        <v>97187000</v>
      </c>
      <c r="F99" s="3">
        <v>106200000</v>
      </c>
      <c r="G99" s="3">
        <v>124589000</v>
      </c>
      <c r="H99" s="3">
        <v>129170000</v>
      </c>
      <c r="I99" s="3">
        <v>152566000</v>
      </c>
      <c r="J99" s="3">
        <v>198456000</v>
      </c>
      <c r="K99" s="3">
        <v>192524000</v>
      </c>
      <c r="L99" s="3">
        <v>191303000</v>
      </c>
      <c r="M99" s="3">
        <v>257905000</v>
      </c>
      <c r="N99" s="3">
        <v>288278000</v>
      </c>
      <c r="O99" s="4">
        <v>249922000</v>
      </c>
      <c r="P99" s="3" t="s">
        <v>24</v>
      </c>
      <c r="Q99" s="3">
        <v>288278000</v>
      </c>
      <c r="R99" s="3">
        <v>220539000</v>
      </c>
      <c r="S99" s="3">
        <v>249922000</v>
      </c>
    </row>
    <row r="100" spans="1:19" ht="16" x14ac:dyDescent="0.2">
      <c r="A100" s="2" t="s">
        <v>109</v>
      </c>
      <c r="B100" s="3" t="s">
        <v>24</v>
      </c>
      <c r="C100" s="3" t="s">
        <v>24</v>
      </c>
      <c r="D100" s="3" t="s">
        <v>24</v>
      </c>
      <c r="E100" s="3" t="s">
        <v>24</v>
      </c>
      <c r="F100" s="3" t="s">
        <v>24</v>
      </c>
      <c r="G100" s="3" t="s">
        <v>24</v>
      </c>
      <c r="H100" s="3" t="s">
        <v>24</v>
      </c>
      <c r="I100" s="3" t="s">
        <v>24</v>
      </c>
      <c r="J100" s="3" t="s">
        <v>24</v>
      </c>
      <c r="K100" s="3" t="s">
        <v>24</v>
      </c>
      <c r="L100" s="3" t="s">
        <v>24</v>
      </c>
      <c r="M100" s="3" t="s">
        <v>24</v>
      </c>
      <c r="N100" s="3" t="s">
        <v>24</v>
      </c>
      <c r="O100" s="4" t="s">
        <v>24</v>
      </c>
      <c r="P100" s="3" t="s">
        <v>24</v>
      </c>
      <c r="Q100" s="3" t="s">
        <v>24</v>
      </c>
      <c r="R100" s="3" t="s">
        <v>24</v>
      </c>
      <c r="S100" s="3" t="s">
        <v>24</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51355000</v>
      </c>
      <c r="C103" s="3">
        <v>66740000</v>
      </c>
      <c r="D103" s="3">
        <v>80047000</v>
      </c>
      <c r="E103" s="3">
        <v>97187000</v>
      </c>
      <c r="F103" s="3">
        <v>106200000</v>
      </c>
      <c r="G103" s="3">
        <v>124589000</v>
      </c>
      <c r="H103" s="3">
        <v>129170000</v>
      </c>
      <c r="I103" s="3">
        <v>152566000</v>
      </c>
      <c r="J103" s="3">
        <v>198456000</v>
      </c>
      <c r="K103" s="3">
        <v>192524000</v>
      </c>
      <c r="L103" s="3">
        <v>191303000</v>
      </c>
      <c r="M103" s="3">
        <v>257905000</v>
      </c>
      <c r="N103" s="3">
        <v>288278000</v>
      </c>
      <c r="O103" s="4">
        <v>249922000</v>
      </c>
      <c r="P103" s="3" t="s">
        <v>24</v>
      </c>
      <c r="Q103" s="3">
        <v>288278000</v>
      </c>
      <c r="R103" s="3">
        <v>220539000</v>
      </c>
      <c r="S103" s="3">
        <v>249922000</v>
      </c>
    </row>
    <row r="104" spans="1:19" ht="16" x14ac:dyDescent="0.2">
      <c r="A104" s="2" t="s">
        <v>113</v>
      </c>
      <c r="B104" s="3">
        <v>170046000</v>
      </c>
      <c r="C104" s="3">
        <v>204810000</v>
      </c>
      <c r="D104" s="3">
        <v>225139000</v>
      </c>
      <c r="E104" s="3">
        <v>232122000</v>
      </c>
      <c r="F104" s="3">
        <v>255638000</v>
      </c>
      <c r="G104" s="3">
        <v>285402000</v>
      </c>
      <c r="H104" s="3">
        <v>288636000</v>
      </c>
      <c r="I104" s="3">
        <v>351049000</v>
      </c>
      <c r="J104" s="3">
        <v>356732000</v>
      </c>
      <c r="K104" s="3">
        <v>366085000</v>
      </c>
      <c r="L104" s="3">
        <v>373130000</v>
      </c>
      <c r="M104" s="3">
        <v>464234000</v>
      </c>
      <c r="N104" s="3">
        <v>529793000</v>
      </c>
      <c r="O104" s="4">
        <v>503018000</v>
      </c>
      <c r="P104" s="3" t="s">
        <v>24</v>
      </c>
      <c r="Q104" s="3">
        <v>529793000</v>
      </c>
      <c r="R104" s="3">
        <v>569520000</v>
      </c>
      <c r="S104" s="3">
        <v>503018000</v>
      </c>
    </row>
    <row r="105" spans="1:19" ht="16" x14ac:dyDescent="0.2">
      <c r="A105" s="2" t="s">
        <v>114</v>
      </c>
      <c r="B105" s="3">
        <v>234087000</v>
      </c>
      <c r="C105" s="3">
        <v>229831000</v>
      </c>
      <c r="D105" s="3">
        <v>201429000</v>
      </c>
      <c r="E105" s="3">
        <v>155714000</v>
      </c>
      <c r="F105" s="3">
        <v>120000000</v>
      </c>
      <c r="G105" s="3">
        <v>107317000</v>
      </c>
      <c r="H105" s="3">
        <v>104975000</v>
      </c>
      <c r="I105" s="3">
        <v>45000000</v>
      </c>
      <c r="J105" s="3">
        <v>45000000</v>
      </c>
      <c r="K105" s="3">
        <v>45000000</v>
      </c>
      <c r="L105" s="3">
        <v>99931000</v>
      </c>
      <c r="M105" s="3">
        <v>99947000</v>
      </c>
      <c r="N105" s="3">
        <v>79963000</v>
      </c>
      <c r="O105" s="4">
        <v>59970000</v>
      </c>
      <c r="P105" s="3" t="s">
        <v>24</v>
      </c>
      <c r="Q105" s="3">
        <v>79963000</v>
      </c>
      <c r="R105" s="3">
        <v>79967000</v>
      </c>
      <c r="S105" s="3">
        <v>59970000</v>
      </c>
    </row>
    <row r="106" spans="1:19" ht="16" x14ac:dyDescent="0.2">
      <c r="A106" s="2" t="s">
        <v>115</v>
      </c>
      <c r="B106" s="3">
        <v>234087000</v>
      </c>
      <c r="C106" s="3">
        <v>229831000</v>
      </c>
      <c r="D106" s="3">
        <v>201429000</v>
      </c>
      <c r="E106" s="3">
        <v>155714000</v>
      </c>
      <c r="F106" s="3">
        <v>120000000</v>
      </c>
      <c r="G106" s="3">
        <v>107317000</v>
      </c>
      <c r="H106" s="3">
        <v>104975000</v>
      </c>
      <c r="I106" s="3">
        <v>45000000</v>
      </c>
      <c r="J106" s="3">
        <v>45000000</v>
      </c>
      <c r="K106" s="3">
        <v>45000000</v>
      </c>
      <c r="L106" s="3">
        <v>99931000</v>
      </c>
      <c r="M106" s="3">
        <v>99947000</v>
      </c>
      <c r="N106" s="3">
        <v>79963000</v>
      </c>
      <c r="O106" s="4">
        <v>59970000</v>
      </c>
      <c r="P106" s="3" t="s">
        <v>24</v>
      </c>
      <c r="Q106" s="3">
        <v>79963000</v>
      </c>
      <c r="R106" s="3">
        <v>79967000</v>
      </c>
      <c r="S106" s="3">
        <v>59970000</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ht="16" x14ac:dyDescent="0.2">
      <c r="A108" s="2" t="s">
        <v>117</v>
      </c>
      <c r="B108" s="3">
        <v>167099000</v>
      </c>
      <c r="C108" s="3">
        <v>221914000</v>
      </c>
      <c r="D108" s="3">
        <v>259977000</v>
      </c>
      <c r="E108" s="3">
        <v>312171000</v>
      </c>
      <c r="F108" s="3">
        <v>366535000</v>
      </c>
      <c r="G108" s="3">
        <v>389148000</v>
      </c>
      <c r="H108" s="3">
        <v>451478000</v>
      </c>
      <c r="I108" s="3">
        <v>395521000</v>
      </c>
      <c r="J108" s="3">
        <v>463068000</v>
      </c>
      <c r="K108" s="3">
        <v>503766000</v>
      </c>
      <c r="L108" s="3">
        <v>570061000</v>
      </c>
      <c r="M108" s="3">
        <v>577556000</v>
      </c>
      <c r="N108" s="3">
        <v>575937000</v>
      </c>
      <c r="O108" s="4">
        <v>583909000</v>
      </c>
      <c r="P108" s="3" t="s">
        <v>24</v>
      </c>
      <c r="Q108" s="3">
        <v>575937000</v>
      </c>
      <c r="R108" s="3">
        <v>561102000</v>
      </c>
      <c r="S108" s="3">
        <v>583909000</v>
      </c>
    </row>
    <row r="109" spans="1:19" ht="16" x14ac:dyDescent="0.2">
      <c r="A109" s="2" t="s">
        <v>118</v>
      </c>
      <c r="B109" s="3">
        <v>90768000</v>
      </c>
      <c r="C109" s="3">
        <v>134916000</v>
      </c>
      <c r="D109" s="3">
        <v>153186000</v>
      </c>
      <c r="E109" s="3">
        <v>189117000</v>
      </c>
      <c r="F109" s="3">
        <v>220783000</v>
      </c>
      <c r="G109" s="3">
        <v>235054000</v>
      </c>
      <c r="H109" s="3">
        <v>272599000</v>
      </c>
      <c r="I109" s="3">
        <v>189960000</v>
      </c>
      <c r="J109" s="3">
        <v>247669000</v>
      </c>
      <c r="K109" s="3">
        <v>261964000</v>
      </c>
      <c r="L109" s="3">
        <v>220210000</v>
      </c>
      <c r="M109" s="3">
        <v>248718000</v>
      </c>
      <c r="N109" s="3">
        <v>310515000</v>
      </c>
      <c r="O109" s="4">
        <v>310515000</v>
      </c>
      <c r="P109" s="3" t="s">
        <v>24</v>
      </c>
      <c r="Q109" s="3">
        <v>310515000</v>
      </c>
      <c r="R109" s="3">
        <v>310515000</v>
      </c>
      <c r="S109" s="3">
        <v>310515000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76331000</v>
      </c>
      <c r="C114" s="3">
        <v>86998000</v>
      </c>
      <c r="D114" s="3">
        <v>106791000</v>
      </c>
      <c r="E114" s="3">
        <v>123054000</v>
      </c>
      <c r="F114" s="3">
        <v>145752000</v>
      </c>
      <c r="G114" s="3">
        <v>154094000</v>
      </c>
      <c r="H114" s="3">
        <v>178879000</v>
      </c>
      <c r="I114" s="3">
        <v>205561000</v>
      </c>
      <c r="J114" s="3">
        <v>215399000</v>
      </c>
      <c r="K114" s="3">
        <v>241802000</v>
      </c>
      <c r="L114" s="3">
        <v>349851000</v>
      </c>
      <c r="M114" s="3">
        <v>328838000</v>
      </c>
      <c r="N114" s="3">
        <v>265422000</v>
      </c>
      <c r="O114" s="4">
        <v>273394000</v>
      </c>
      <c r="P114" s="3" t="s">
        <v>24</v>
      </c>
      <c r="Q114" s="3">
        <v>265422000</v>
      </c>
      <c r="R114" s="3">
        <v>250587000</v>
      </c>
      <c r="S114" s="3">
        <v>273394000</v>
      </c>
    </row>
    <row r="115" spans="1:19" ht="16" x14ac:dyDescent="0.2">
      <c r="A115" s="2" t="s">
        <v>121</v>
      </c>
      <c r="B115" s="3">
        <v>401186000</v>
      </c>
      <c r="C115" s="3">
        <v>451745000</v>
      </c>
      <c r="D115" s="3">
        <v>461406000</v>
      </c>
      <c r="E115" s="3">
        <v>467885000</v>
      </c>
      <c r="F115" s="3">
        <v>486535000</v>
      </c>
      <c r="G115" s="3">
        <v>496465000</v>
      </c>
      <c r="H115" s="3">
        <v>556453000</v>
      </c>
      <c r="I115" s="3">
        <v>440521000</v>
      </c>
      <c r="J115" s="3">
        <v>508068000</v>
      </c>
      <c r="K115" s="3">
        <v>548766000</v>
      </c>
      <c r="L115" s="3">
        <v>669992000</v>
      </c>
      <c r="M115" s="3">
        <v>677503000</v>
      </c>
      <c r="N115" s="3">
        <v>655900000</v>
      </c>
      <c r="O115" s="4">
        <v>643879000</v>
      </c>
      <c r="P115" s="3" t="s">
        <v>24</v>
      </c>
      <c r="Q115" s="3">
        <v>655900000</v>
      </c>
      <c r="R115" s="3">
        <v>641069000</v>
      </c>
      <c r="S115" s="3">
        <v>643879000</v>
      </c>
    </row>
    <row r="116" spans="1:19" ht="16" x14ac:dyDescent="0.2">
      <c r="A116" s="2" t="s">
        <v>122</v>
      </c>
      <c r="B116" s="3">
        <v>571232000</v>
      </c>
      <c r="C116" s="3">
        <v>656555000</v>
      </c>
      <c r="D116" s="3">
        <v>686545000</v>
      </c>
      <c r="E116" s="3">
        <v>700007000</v>
      </c>
      <c r="F116" s="3">
        <v>742173000</v>
      </c>
      <c r="G116" s="3">
        <v>781867000</v>
      </c>
      <c r="H116" s="3">
        <v>845089000</v>
      </c>
      <c r="I116" s="3">
        <v>791570000</v>
      </c>
      <c r="J116" s="3">
        <v>864800000</v>
      </c>
      <c r="K116" s="3">
        <v>914851000</v>
      </c>
      <c r="L116" s="3">
        <v>1043122000</v>
      </c>
      <c r="M116" s="3">
        <v>1141737000</v>
      </c>
      <c r="N116" s="3">
        <v>1185693000</v>
      </c>
      <c r="O116" s="4">
        <v>1146897000</v>
      </c>
      <c r="P116" s="3" t="s">
        <v>24</v>
      </c>
      <c r="Q116" s="3">
        <v>1185693000</v>
      </c>
      <c r="R116" s="3">
        <v>1210589000</v>
      </c>
      <c r="S116" s="3">
        <v>1146897000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94619000</v>
      </c>
      <c r="C118" s="3">
        <v>143019000</v>
      </c>
      <c r="D118" s="3">
        <v>143017000</v>
      </c>
      <c r="E118" s="3">
        <v>143017000</v>
      </c>
      <c r="F118" s="3">
        <v>143010000</v>
      </c>
      <c r="G118" s="3">
        <v>142842000</v>
      </c>
      <c r="H118" s="3">
        <v>143708000</v>
      </c>
      <c r="I118" s="3">
        <v>146597000</v>
      </c>
      <c r="J118" s="3">
        <v>150299000</v>
      </c>
      <c r="K118" s="3">
        <v>230399000</v>
      </c>
      <c r="L118" s="3">
        <v>238157000</v>
      </c>
      <c r="M118" s="3">
        <v>185946000</v>
      </c>
      <c r="N118" s="3">
        <v>255612000</v>
      </c>
      <c r="O118" s="4">
        <v>249973000</v>
      </c>
      <c r="P118" s="3" t="s">
        <v>24</v>
      </c>
      <c r="Q118" s="3">
        <v>255612000</v>
      </c>
      <c r="R118" s="3">
        <v>251007000</v>
      </c>
      <c r="S118" s="3">
        <v>249973000</v>
      </c>
    </row>
    <row r="119" spans="1:19" ht="16" x14ac:dyDescent="0.2">
      <c r="A119" s="2" t="s">
        <v>125</v>
      </c>
      <c r="B119" s="3">
        <v>5593000</v>
      </c>
      <c r="C119" s="3">
        <v>5744000</v>
      </c>
      <c r="D119" s="3">
        <v>8616000</v>
      </c>
      <c r="E119" s="3">
        <v>8616000</v>
      </c>
      <c r="F119" s="3">
        <v>8609000</v>
      </c>
      <c r="G119" s="3">
        <v>8441000</v>
      </c>
      <c r="H119" s="3">
        <v>8242000</v>
      </c>
      <c r="I119" s="3">
        <v>8238000</v>
      </c>
      <c r="J119" s="3">
        <v>8123000</v>
      </c>
      <c r="K119" s="3">
        <v>7969000</v>
      </c>
      <c r="L119" s="3">
        <v>11706000</v>
      </c>
      <c r="M119" s="3">
        <v>11501000</v>
      </c>
      <c r="N119" s="3">
        <v>11022000</v>
      </c>
      <c r="O119" s="4">
        <v>10934000</v>
      </c>
      <c r="P119" s="3" t="s">
        <v>24</v>
      </c>
      <c r="Q119" s="3">
        <v>11022000</v>
      </c>
      <c r="R119" s="3">
        <v>10983000</v>
      </c>
      <c r="S119" s="3">
        <v>10934000</v>
      </c>
    </row>
    <row r="120" spans="1:19" ht="16" x14ac:dyDescent="0.2">
      <c r="A120" s="2" t="s">
        <v>126</v>
      </c>
      <c r="B120" s="3">
        <v>89026000</v>
      </c>
      <c r="C120" s="3">
        <v>137275000</v>
      </c>
      <c r="D120" s="3">
        <v>134401000</v>
      </c>
      <c r="E120" s="3">
        <v>134401000</v>
      </c>
      <c r="F120" s="3">
        <v>134401000</v>
      </c>
      <c r="G120" s="3">
        <v>134401000</v>
      </c>
      <c r="H120" s="3">
        <v>135466000</v>
      </c>
      <c r="I120" s="3">
        <v>138359000</v>
      </c>
      <c r="J120" s="3">
        <v>142176000</v>
      </c>
      <c r="K120" s="3">
        <v>222430000</v>
      </c>
      <c r="L120" s="3">
        <v>226451000</v>
      </c>
      <c r="M120" s="3">
        <v>174445000</v>
      </c>
      <c r="N120" s="3">
        <v>244590000</v>
      </c>
      <c r="O120" s="4">
        <v>239039000</v>
      </c>
      <c r="P120" s="3" t="s">
        <v>24</v>
      </c>
      <c r="Q120" s="3">
        <v>244590000</v>
      </c>
      <c r="R120" s="3">
        <v>240024000</v>
      </c>
      <c r="S120" s="3">
        <v>239039000</v>
      </c>
    </row>
    <row r="121" spans="1:19" ht="16" x14ac:dyDescent="0.2">
      <c r="A121" s="2"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2" t="s">
        <v>128</v>
      </c>
      <c r="B122" s="3">
        <v>574030000</v>
      </c>
      <c r="C122" s="3">
        <v>713500000</v>
      </c>
      <c r="D122" s="3">
        <v>882952000</v>
      </c>
      <c r="E122" s="3">
        <v>1089065000</v>
      </c>
      <c r="F122" s="3">
        <v>1351054000</v>
      </c>
      <c r="G122" s="3">
        <v>1541795000</v>
      </c>
      <c r="H122" s="3">
        <v>1707450000</v>
      </c>
      <c r="I122" s="3">
        <v>2130257000</v>
      </c>
      <c r="J122" s="3">
        <v>2530184000</v>
      </c>
      <c r="K122" s="3">
        <v>2850318000</v>
      </c>
      <c r="L122" s="3">
        <v>3088131000</v>
      </c>
      <c r="M122" s="3">
        <v>3493861000</v>
      </c>
      <c r="N122" s="3">
        <v>3397305000</v>
      </c>
      <c r="O122" s="4">
        <v>3582062000</v>
      </c>
      <c r="P122" s="3" t="s">
        <v>24</v>
      </c>
      <c r="Q122" s="3">
        <v>3397305000</v>
      </c>
      <c r="R122" s="3">
        <v>3495492000</v>
      </c>
      <c r="S122" s="3">
        <v>3582062000</v>
      </c>
    </row>
    <row r="123" spans="1:19" ht="16" x14ac:dyDescent="0.2">
      <c r="A123" s="2" t="s">
        <v>129</v>
      </c>
      <c r="B123" s="3" t="s">
        <v>24</v>
      </c>
      <c r="C123" s="3" t="s">
        <v>24</v>
      </c>
      <c r="D123" s="3" t="s">
        <v>24</v>
      </c>
      <c r="E123" s="3" t="s">
        <v>24</v>
      </c>
      <c r="F123" s="3" t="s">
        <v>24</v>
      </c>
      <c r="G123" s="3" t="s">
        <v>24</v>
      </c>
      <c r="H123" s="3" t="s">
        <v>24</v>
      </c>
      <c r="I123" s="3" t="s">
        <v>24</v>
      </c>
      <c r="J123" s="3" t="s">
        <v>24</v>
      </c>
      <c r="K123" s="3" t="s">
        <v>24</v>
      </c>
      <c r="L123" s="3" t="s">
        <v>24</v>
      </c>
      <c r="M123" s="3" t="s">
        <v>24</v>
      </c>
      <c r="N123" s="3" t="s">
        <v>24</v>
      </c>
      <c r="O123" s="4" t="s">
        <v>24</v>
      </c>
      <c r="P123" s="3" t="s">
        <v>24</v>
      </c>
      <c r="Q123" s="3" t="s">
        <v>24</v>
      </c>
      <c r="R123" s="3" t="s">
        <v>24</v>
      </c>
      <c r="S123" s="3" t="s">
        <v>24</v>
      </c>
    </row>
    <row r="124" spans="1:19" ht="16" x14ac:dyDescent="0.2">
      <c r="A124" s="2" t="s">
        <v>130</v>
      </c>
      <c r="B124" s="3">
        <v>668649000</v>
      </c>
      <c r="C124" s="3">
        <v>856519000</v>
      </c>
      <c r="D124" s="3">
        <v>1025969000</v>
      </c>
      <c r="E124" s="3">
        <v>1232082000</v>
      </c>
      <c r="F124" s="3">
        <v>1494064000</v>
      </c>
      <c r="G124" s="3">
        <v>1684637000</v>
      </c>
      <c r="H124" s="3">
        <v>1851158000</v>
      </c>
      <c r="I124" s="3">
        <v>2276854000</v>
      </c>
      <c r="J124" s="3">
        <v>2680483000</v>
      </c>
      <c r="K124" s="3">
        <v>3080717000</v>
      </c>
      <c r="L124" s="3">
        <v>3326288000</v>
      </c>
      <c r="M124" s="3">
        <v>3679807000</v>
      </c>
      <c r="N124" s="3">
        <v>3652917000</v>
      </c>
      <c r="O124" s="4">
        <v>3832035000</v>
      </c>
      <c r="P124" s="3" t="s">
        <v>24</v>
      </c>
      <c r="Q124" s="3">
        <v>3652917000</v>
      </c>
      <c r="R124" s="3">
        <v>3746499000</v>
      </c>
      <c r="S124" s="3">
        <v>3832035000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668649000</v>
      </c>
      <c r="C126" s="3">
        <v>856519000</v>
      </c>
      <c r="D126" s="3">
        <v>1025969000</v>
      </c>
      <c r="E126" s="3">
        <v>1232082000</v>
      </c>
      <c r="F126" s="3">
        <v>1494064000</v>
      </c>
      <c r="G126" s="3">
        <v>1684637000</v>
      </c>
      <c r="H126" s="3">
        <v>1851158000</v>
      </c>
      <c r="I126" s="3">
        <v>2276854000</v>
      </c>
      <c r="J126" s="3">
        <v>2680483000</v>
      </c>
      <c r="K126" s="3">
        <v>3080717000</v>
      </c>
      <c r="L126" s="3">
        <v>3326288000</v>
      </c>
      <c r="M126" s="3">
        <v>3679807000</v>
      </c>
      <c r="N126" s="3">
        <v>3652917000</v>
      </c>
      <c r="O126" s="4">
        <v>3832035000</v>
      </c>
      <c r="P126" s="3" t="s">
        <v>24</v>
      </c>
      <c r="Q126" s="3">
        <v>3652917000</v>
      </c>
      <c r="R126" s="3">
        <v>3746499000</v>
      </c>
      <c r="S126" s="3">
        <v>3832035000</v>
      </c>
    </row>
    <row r="127" spans="1:19" ht="16" x14ac:dyDescent="0.2">
      <c r="A127" s="2" t="s">
        <v>133</v>
      </c>
      <c r="B127" s="3">
        <v>1239881000</v>
      </c>
      <c r="C127" s="3">
        <v>1513074000</v>
      </c>
      <c r="D127" s="3">
        <v>1712514000</v>
      </c>
      <c r="E127" s="3">
        <v>1932089000</v>
      </c>
      <c r="F127" s="3">
        <v>2236237000</v>
      </c>
      <c r="G127" s="3">
        <v>2466504000</v>
      </c>
      <c r="H127" s="3">
        <v>2696247000</v>
      </c>
      <c r="I127" s="3">
        <v>3068424000</v>
      </c>
      <c r="J127" s="3">
        <v>3545283000</v>
      </c>
      <c r="K127" s="3">
        <v>3995568000</v>
      </c>
      <c r="L127" s="3">
        <v>4369410000</v>
      </c>
      <c r="M127" s="3">
        <v>4821544000</v>
      </c>
      <c r="N127" s="3">
        <v>4838610000</v>
      </c>
      <c r="O127" s="4">
        <v>4978932000</v>
      </c>
      <c r="P127" s="3" t="s">
        <v>24</v>
      </c>
      <c r="Q127" s="3">
        <v>4838610000</v>
      </c>
      <c r="R127" s="3">
        <v>4957088000</v>
      </c>
      <c r="S127" s="3">
        <v>4978932000</v>
      </c>
    </row>
    <row r="128" spans="1:19" ht="16" x14ac:dyDescent="0.2">
      <c r="A128" s="29" t="s">
        <v>134</v>
      </c>
      <c r="B128" s="30">
        <v>125835626</v>
      </c>
      <c r="C128" s="30">
        <v>129247479</v>
      </c>
      <c r="D128" s="30">
        <v>129247375</v>
      </c>
      <c r="E128" s="30">
        <v>129247375</v>
      </c>
      <c r="F128" s="30">
        <v>129141445</v>
      </c>
      <c r="G128" s="30">
        <v>126617817</v>
      </c>
      <c r="H128" s="30">
        <v>123624985</v>
      </c>
      <c r="I128" s="30">
        <v>123563917</v>
      </c>
      <c r="J128" s="30">
        <v>121846696</v>
      </c>
      <c r="K128" s="30">
        <v>119532534</v>
      </c>
      <c r="L128" s="30">
        <v>117057696</v>
      </c>
      <c r="M128" s="30">
        <v>115011172</v>
      </c>
      <c r="N128" s="30">
        <v>110222819</v>
      </c>
      <c r="O128" s="31">
        <v>109337474</v>
      </c>
      <c r="P128" s="30" t="s">
        <v>24</v>
      </c>
      <c r="Q128" s="30">
        <v>110222819</v>
      </c>
      <c r="R128" s="30">
        <v>109830927</v>
      </c>
      <c r="S128" s="30">
        <v>109337474</v>
      </c>
    </row>
    <row r="129" spans="1:30" ht="19" x14ac:dyDescent="0.25">
      <c r="A129" s="21" t="s">
        <v>197</v>
      </c>
      <c r="B129" s="9"/>
      <c r="C129" s="10">
        <f>(C128/B128)-1</f>
        <v>2.7113569570512475E-2</v>
      </c>
      <c r="D129" s="10">
        <f>(D128/C128)-1</f>
        <v>-8.0465786100880621E-7</v>
      </c>
      <c r="E129" s="10">
        <f>(E128/D128)-1</f>
        <v>0</v>
      </c>
      <c r="F129" s="10">
        <f t="shared" ref="F129:N129" si="6">(F128/E128)-1</f>
        <v>-8.1959111355256464E-4</v>
      </c>
      <c r="G129" s="10">
        <f t="shared" si="6"/>
        <v>-1.9541580938636671E-2</v>
      </c>
      <c r="H129" s="10">
        <f t="shared" si="6"/>
        <v>-2.3636736684537807E-2</v>
      </c>
      <c r="I129" s="10">
        <f t="shared" si="6"/>
        <v>-4.9397781524507245E-4</v>
      </c>
      <c r="J129" s="10">
        <f t="shared" si="6"/>
        <v>-1.3897430914236897E-2</v>
      </c>
      <c r="K129" s="10">
        <f t="shared" si="6"/>
        <v>-1.8992406654998684E-2</v>
      </c>
      <c r="L129" s="10">
        <f t="shared" si="6"/>
        <v>-2.0704304653994865E-2</v>
      </c>
      <c r="M129" s="10">
        <f t="shared" si="6"/>
        <v>-1.7483036741129721E-2</v>
      </c>
      <c r="N129" s="10">
        <f t="shared" si="6"/>
        <v>-4.1633807540018775E-2</v>
      </c>
      <c r="O129" s="10">
        <f>(O128/N128)-1</f>
        <v>-8.0323204217812583E-3</v>
      </c>
      <c r="P129" s="10"/>
      <c r="Q129" s="10" t="e">
        <f>(Q128/P128)-1</f>
        <v>#VALUE!</v>
      </c>
      <c r="R129" s="10">
        <f>(R128/Q128)-1</f>
        <v>-3.5554525238553625E-3</v>
      </c>
      <c r="S129" s="10">
        <f>(S128/R128)-1</f>
        <v>-4.4928419842983347E-3</v>
      </c>
      <c r="T129" s="11"/>
      <c r="U129" s="11"/>
      <c r="V129" s="11"/>
      <c r="W129" s="11"/>
      <c r="X129" s="11"/>
      <c r="Y129" s="11"/>
      <c r="Z129" s="11"/>
      <c r="AA129" s="12"/>
      <c r="AB129" s="12"/>
      <c r="AC129" s="12"/>
      <c r="AD129" s="12"/>
    </row>
    <row r="130" spans="1:30" ht="16" x14ac:dyDescent="0.2">
      <c r="A130" s="2" t="s">
        <v>135</v>
      </c>
      <c r="B130" s="3" t="s">
        <v>24</v>
      </c>
      <c r="C130" s="3" t="s">
        <v>24</v>
      </c>
      <c r="D130" s="3" t="s">
        <v>24</v>
      </c>
      <c r="E130" s="3" t="s">
        <v>24</v>
      </c>
      <c r="F130" s="3" t="s">
        <v>24</v>
      </c>
      <c r="G130" s="3" t="s">
        <v>24</v>
      </c>
      <c r="H130" s="3" t="s">
        <v>24</v>
      </c>
      <c r="I130" s="3" t="s">
        <v>24</v>
      </c>
      <c r="J130" s="3" t="s">
        <v>24</v>
      </c>
      <c r="K130" s="3" t="s">
        <v>24</v>
      </c>
      <c r="L130" s="3" t="s">
        <v>24</v>
      </c>
      <c r="M130" s="3" t="s">
        <v>24</v>
      </c>
      <c r="N130" s="3" t="s">
        <v>24</v>
      </c>
      <c r="O130" s="4" t="s">
        <v>24</v>
      </c>
      <c r="P130" s="3" t="s">
        <v>24</v>
      </c>
      <c r="Q130" s="3" t="s">
        <v>24</v>
      </c>
      <c r="R130" s="3" t="s">
        <v>24</v>
      </c>
      <c r="S130" s="3" t="s">
        <v>24</v>
      </c>
    </row>
    <row r="131" spans="1:30" ht="16" x14ac:dyDescent="0.2">
      <c r="A131" s="2" t="s">
        <v>136</v>
      </c>
      <c r="B131" s="3">
        <v>265767000</v>
      </c>
      <c r="C131" s="3">
        <v>193335000</v>
      </c>
      <c r="D131" s="3">
        <v>227550000</v>
      </c>
      <c r="E131" s="3">
        <v>161255000</v>
      </c>
      <c r="F131" s="3">
        <v>120927000</v>
      </c>
      <c r="G131" s="3">
        <v>122333000</v>
      </c>
      <c r="H131" s="3">
        <v>94804000</v>
      </c>
      <c r="I131" s="3">
        <v>-32462000</v>
      </c>
      <c r="J131" s="3">
        <v>-145282000</v>
      </c>
      <c r="K131" s="3">
        <v>-358571000</v>
      </c>
      <c r="L131" s="3">
        <v>-301499000</v>
      </c>
      <c r="M131" s="3">
        <v>-362617000</v>
      </c>
      <c r="N131" s="3">
        <v>-86349000</v>
      </c>
      <c r="O131" s="4">
        <v>24829000</v>
      </c>
      <c r="P131" s="3" t="s">
        <v>24</v>
      </c>
      <c r="Q131" s="3">
        <v>-86349000</v>
      </c>
      <c r="R131" s="3">
        <v>-107657000</v>
      </c>
      <c r="S131" s="3">
        <v>24829000</v>
      </c>
    </row>
    <row r="132" spans="1:30" ht="16" x14ac:dyDescent="0.2">
      <c r="A132" s="2" t="s">
        <v>137</v>
      </c>
      <c r="B132" s="5">
        <v>39.75</v>
      </c>
      <c r="C132" s="5">
        <v>22.57</v>
      </c>
      <c r="D132" s="5">
        <v>22.18</v>
      </c>
      <c r="E132" s="5">
        <v>13.09</v>
      </c>
      <c r="F132" s="5">
        <v>8.09</v>
      </c>
      <c r="G132" s="5">
        <v>7.26</v>
      </c>
      <c r="H132" s="5">
        <v>5.12</v>
      </c>
      <c r="I132" s="5">
        <v>-1.43</v>
      </c>
      <c r="J132" s="5">
        <v>-5.42</v>
      </c>
      <c r="K132" s="5">
        <v>-11.64</v>
      </c>
      <c r="L132" s="5">
        <v>-9.06</v>
      </c>
      <c r="M132" s="5">
        <v>-9.85</v>
      </c>
      <c r="N132" s="5">
        <v>-2.36</v>
      </c>
      <c r="O132" s="6">
        <v>0.65</v>
      </c>
      <c r="P132" s="3" t="s">
        <v>24</v>
      </c>
      <c r="Q132" s="5">
        <v>-2.36</v>
      </c>
      <c r="R132" s="5">
        <v>-2.87</v>
      </c>
      <c r="S132" s="5">
        <v>0.65</v>
      </c>
    </row>
    <row r="133" spans="1:30" ht="16" x14ac:dyDescent="0.2">
      <c r="A133" s="2" t="s">
        <v>138</v>
      </c>
      <c r="B133" s="3">
        <v>53</v>
      </c>
      <c r="C133" s="3">
        <v>56</v>
      </c>
      <c r="D133" s="3">
        <v>59</v>
      </c>
      <c r="E133" s="3">
        <v>63</v>
      </c>
      <c r="F133" s="3">
        <v>67</v>
      </c>
      <c r="G133" s="3">
        <v>68</v>
      </c>
      <c r="H133" s="3">
        <v>68</v>
      </c>
      <c r="I133" s="3">
        <v>74</v>
      </c>
      <c r="J133" s="3">
        <v>75</v>
      </c>
      <c r="K133" s="3">
        <v>77</v>
      </c>
      <c r="L133" s="3">
        <v>76</v>
      </c>
      <c r="M133" s="3">
        <v>76</v>
      </c>
      <c r="N133" s="3">
        <v>75</v>
      </c>
      <c r="O133" s="4">
        <v>77</v>
      </c>
      <c r="P133" s="3" t="s">
        <v>24</v>
      </c>
      <c r="Q133" s="3">
        <v>75</v>
      </c>
      <c r="R133" s="3">
        <v>76</v>
      </c>
      <c r="S133" s="3">
        <v>77</v>
      </c>
    </row>
    <row r="134" spans="1:30" ht="16" x14ac:dyDescent="0.2">
      <c r="A134" s="2" t="s">
        <v>139</v>
      </c>
      <c r="B134" s="5">
        <v>1.31</v>
      </c>
      <c r="C134" s="5">
        <v>1.62</v>
      </c>
      <c r="D134" s="5">
        <v>1.22</v>
      </c>
      <c r="E134" s="5">
        <v>1.43</v>
      </c>
      <c r="F134" s="5">
        <v>1.69</v>
      </c>
      <c r="G134" s="5">
        <v>1.34</v>
      </c>
      <c r="H134" s="5">
        <v>1.33</v>
      </c>
      <c r="I134" s="5">
        <v>1.67</v>
      </c>
      <c r="J134" s="5">
        <v>1.98</v>
      </c>
      <c r="K134" s="5">
        <v>2.37</v>
      </c>
      <c r="L134" s="5">
        <v>3.33</v>
      </c>
      <c r="M134" s="5">
        <v>2.98</v>
      </c>
      <c r="N134" s="5">
        <v>1.76</v>
      </c>
      <c r="O134" s="6">
        <v>1.45</v>
      </c>
      <c r="P134" s="3" t="s">
        <v>24</v>
      </c>
      <c r="Q134" s="5">
        <v>1.76</v>
      </c>
      <c r="R134" s="5">
        <v>1.57</v>
      </c>
      <c r="S134" s="5">
        <v>1.45</v>
      </c>
    </row>
    <row r="135" spans="1:30" ht="16" x14ac:dyDescent="0.2">
      <c r="A135" s="2" t="s">
        <v>140</v>
      </c>
      <c r="B135" s="5">
        <v>-11.81</v>
      </c>
      <c r="C135" s="5">
        <v>14.37</v>
      </c>
      <c r="D135" s="5">
        <v>27.72</v>
      </c>
      <c r="E135" s="5">
        <v>28.19</v>
      </c>
      <c r="F135" s="5">
        <v>28.95</v>
      </c>
      <c r="G135" s="5">
        <v>28.44</v>
      </c>
      <c r="H135" s="5">
        <v>25.8</v>
      </c>
      <c r="I135" s="5">
        <v>26.84</v>
      </c>
      <c r="J135" s="5">
        <v>27.5</v>
      </c>
      <c r="K135" s="5">
        <v>27.41</v>
      </c>
      <c r="L135" s="5">
        <v>29.19</v>
      </c>
      <c r="M135" s="5">
        <v>27.22</v>
      </c>
      <c r="N135" s="5">
        <v>24.81</v>
      </c>
      <c r="O135" s="6">
        <v>26.42</v>
      </c>
      <c r="P135" s="3" t="s">
        <v>24</v>
      </c>
      <c r="Q135" s="5">
        <v>24.81</v>
      </c>
      <c r="R135" s="5">
        <v>25.34</v>
      </c>
      <c r="S135" s="5">
        <v>26.42</v>
      </c>
    </row>
    <row r="136" spans="1:30" ht="16" x14ac:dyDescent="0.2">
      <c r="A136" s="2" t="s">
        <v>141</v>
      </c>
      <c r="B136" s="3">
        <v>11179</v>
      </c>
      <c r="C136" s="3">
        <v>12022</v>
      </c>
      <c r="D136" s="3">
        <v>13016</v>
      </c>
      <c r="E136" s="3">
        <v>14073</v>
      </c>
      <c r="F136" s="3">
        <v>16443</v>
      </c>
      <c r="G136" s="3">
        <v>17931</v>
      </c>
      <c r="H136" s="3">
        <v>17543</v>
      </c>
      <c r="I136" s="3">
        <v>19183</v>
      </c>
      <c r="J136" s="3">
        <v>21279</v>
      </c>
      <c r="K136" s="3">
        <v>20105</v>
      </c>
      <c r="L136" s="3">
        <v>19779</v>
      </c>
      <c r="M136" s="3">
        <v>23663</v>
      </c>
      <c r="N136" s="3">
        <v>23471</v>
      </c>
      <c r="O136" s="4">
        <v>23471</v>
      </c>
      <c r="P136" s="3">
        <v>23663</v>
      </c>
      <c r="Q136" s="3">
        <v>23471</v>
      </c>
      <c r="R136" s="3">
        <v>23471</v>
      </c>
      <c r="S136" s="3">
        <v>23471</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75651000</v>
      </c>
      <c r="C139" s="3">
        <v>139470000</v>
      </c>
      <c r="D139" s="3">
        <v>169452000</v>
      </c>
      <c r="E139" s="3">
        <v>206113000</v>
      </c>
      <c r="F139" s="3">
        <v>267514000</v>
      </c>
      <c r="G139" s="3">
        <v>304690000</v>
      </c>
      <c r="H139" s="3">
        <v>295765000</v>
      </c>
      <c r="I139" s="3">
        <v>463774000</v>
      </c>
      <c r="J139" s="3">
        <v>605668000</v>
      </c>
      <c r="K139" s="3">
        <v>615518000</v>
      </c>
      <c r="L139" s="3">
        <v>672682000</v>
      </c>
      <c r="M139" s="3">
        <v>1034375000</v>
      </c>
      <c r="N139" s="3">
        <v>1377159000</v>
      </c>
      <c r="O139" s="4">
        <v>1278730000</v>
      </c>
      <c r="P139" s="3" t="s">
        <v>24</v>
      </c>
      <c r="Q139" s="3">
        <v>323929000</v>
      </c>
      <c r="R139" s="3">
        <v>285038000</v>
      </c>
      <c r="S139" s="3">
        <v>292362000</v>
      </c>
    </row>
    <row r="140" spans="1:30" ht="16" x14ac:dyDescent="0.2">
      <c r="A140" s="2" t="s">
        <v>143</v>
      </c>
      <c r="B140" s="3">
        <v>80362000</v>
      </c>
      <c r="C140" s="3">
        <v>90820000</v>
      </c>
      <c r="D140" s="3">
        <v>110743000</v>
      </c>
      <c r="E140" s="3">
        <v>127072000</v>
      </c>
      <c r="F140" s="3">
        <v>146466000</v>
      </c>
      <c r="G140" s="3">
        <v>165343000</v>
      </c>
      <c r="H140" s="3">
        <v>189867000</v>
      </c>
      <c r="I140" s="3">
        <v>205763000</v>
      </c>
      <c r="J140" s="3">
        <v>230357000</v>
      </c>
      <c r="K140" s="3">
        <v>253681000</v>
      </c>
      <c r="L140" s="3">
        <v>261267000</v>
      </c>
      <c r="M140" s="3">
        <v>259899000</v>
      </c>
      <c r="N140" s="3">
        <v>276066000</v>
      </c>
      <c r="O140" s="4">
        <v>296146000</v>
      </c>
      <c r="P140" s="3" t="s">
        <v>24</v>
      </c>
      <c r="Q140" s="3">
        <v>72057000</v>
      </c>
      <c r="R140" s="3">
        <v>75951000</v>
      </c>
      <c r="S140" s="3">
        <v>79787000</v>
      </c>
    </row>
    <row r="141" spans="1:30" ht="16" x14ac:dyDescent="0.2">
      <c r="A141" s="2" t="s">
        <v>144</v>
      </c>
      <c r="B141" s="3">
        <v>8382000</v>
      </c>
      <c r="C141" s="3">
        <v>44611000</v>
      </c>
      <c r="D141" s="3">
        <v>17760000</v>
      </c>
      <c r="E141" s="3">
        <v>26993000</v>
      </c>
      <c r="F141" s="3">
        <v>24828000</v>
      </c>
      <c r="G141" s="3">
        <v>40050000</v>
      </c>
      <c r="H141" s="3">
        <v>36386000</v>
      </c>
      <c r="I141" s="3">
        <v>-78123000</v>
      </c>
      <c r="J141" s="3">
        <v>63080000</v>
      </c>
      <c r="K141" s="3">
        <v>47006000</v>
      </c>
      <c r="L141" s="3">
        <v>-16975000</v>
      </c>
      <c r="M141" s="3">
        <v>59531000</v>
      </c>
      <c r="N141" s="3">
        <v>91134000</v>
      </c>
      <c r="O141" s="4">
        <v>85986000</v>
      </c>
      <c r="P141" s="3" t="s">
        <v>24</v>
      </c>
      <c r="Q141" s="3">
        <v>48241000</v>
      </c>
      <c r="R141" s="3">
        <v>4045000</v>
      </c>
      <c r="S141" s="3">
        <v>4395000</v>
      </c>
    </row>
    <row r="142" spans="1:30" ht="16" x14ac:dyDescent="0.2">
      <c r="A142" s="29" t="s">
        <v>145</v>
      </c>
      <c r="B142" s="30" t="s">
        <v>24</v>
      </c>
      <c r="C142" s="30" t="s">
        <v>24</v>
      </c>
      <c r="D142" s="30" t="s">
        <v>24</v>
      </c>
      <c r="E142" s="30" t="s">
        <v>24</v>
      </c>
      <c r="F142" s="30" t="s">
        <v>24</v>
      </c>
      <c r="G142" s="30" t="s">
        <v>24</v>
      </c>
      <c r="H142" s="30">
        <v>1410000</v>
      </c>
      <c r="I142" s="30">
        <v>3242000</v>
      </c>
      <c r="J142" s="30">
        <v>4894000</v>
      </c>
      <c r="K142" s="30">
        <v>16717000</v>
      </c>
      <c r="L142" s="30">
        <v>11337000</v>
      </c>
      <c r="M142" s="30">
        <v>15039000</v>
      </c>
      <c r="N142" s="30">
        <v>15893000</v>
      </c>
      <c r="O142" s="30">
        <v>15893000</v>
      </c>
      <c r="P142" s="30" t="s">
        <v>24</v>
      </c>
      <c r="Q142" s="30" t="s">
        <v>24</v>
      </c>
      <c r="R142" s="30" t="s">
        <v>24</v>
      </c>
      <c r="S142" s="30" t="s">
        <v>24</v>
      </c>
    </row>
    <row r="143" spans="1:30" ht="19" x14ac:dyDescent="0.25">
      <c r="A143" s="20" t="s">
        <v>198</v>
      </c>
      <c r="B143" s="39" t="e">
        <f t="shared" ref="B143:R143" si="7">B142/B2</f>
        <v>#VALUE!</v>
      </c>
      <c r="C143" s="39" t="e">
        <f t="shared" si="7"/>
        <v>#VALUE!</v>
      </c>
      <c r="D143" s="39" t="e">
        <f t="shared" si="7"/>
        <v>#VALUE!</v>
      </c>
      <c r="E143" s="39" t="e">
        <f t="shared" si="7"/>
        <v>#VALUE!</v>
      </c>
      <c r="F143" s="39" t="e">
        <f t="shared" si="7"/>
        <v>#VALUE!</v>
      </c>
      <c r="G143" s="39" t="e">
        <f t="shared" si="7"/>
        <v>#VALUE!</v>
      </c>
      <c r="H143" s="39">
        <f t="shared" si="7"/>
        <v>4.7133277196820207E-4</v>
      </c>
      <c r="I143" s="39">
        <f t="shared" si="7"/>
        <v>9.6542342840262628E-4</v>
      </c>
      <c r="J143" s="39">
        <f t="shared" si="7"/>
        <v>1.210279212452967E-3</v>
      </c>
      <c r="K143" s="39">
        <f t="shared" si="7"/>
        <v>4.0682765688247408E-3</v>
      </c>
      <c r="L143" s="39">
        <f t="shared" si="7"/>
        <v>2.82357055028618E-3</v>
      </c>
      <c r="M143" s="39">
        <f t="shared" si="7"/>
        <v>2.8611228218634759E-3</v>
      </c>
      <c r="N143" s="39">
        <f t="shared" si="7"/>
        <v>2.5387866634867273E-3</v>
      </c>
      <c r="O143" s="39">
        <f t="shared" si="7"/>
        <v>2.6707898970772049E-3</v>
      </c>
      <c r="P143" s="39" t="e">
        <f t="shared" si="7"/>
        <v>#VALUE!</v>
      </c>
      <c r="Q143" s="39" t="e">
        <f t="shared" si="7"/>
        <v>#VALUE!</v>
      </c>
      <c r="R143" s="39" t="e">
        <f t="shared" si="7"/>
        <v>#VALUE!</v>
      </c>
      <c r="S143" s="39" t="e">
        <f>S142/S2</f>
        <v>#VALUE!</v>
      </c>
      <c r="T143" s="11"/>
      <c r="U143" s="11"/>
      <c r="V143" s="11"/>
      <c r="W143" s="11"/>
      <c r="X143" s="11"/>
      <c r="Y143" s="11"/>
      <c r="Z143" s="11"/>
      <c r="AA143" s="12"/>
      <c r="AB143" s="12"/>
      <c r="AC143" s="12"/>
      <c r="AD143" s="12"/>
    </row>
    <row r="144" spans="1:30" ht="16" x14ac:dyDescent="0.2">
      <c r="A144" s="2" t="s">
        <v>146</v>
      </c>
      <c r="B144" s="3">
        <v>7624000</v>
      </c>
      <c r="C144" s="3">
        <v>43348000</v>
      </c>
      <c r="D144" s="3">
        <v>17682000</v>
      </c>
      <c r="E144" s="3">
        <v>32736000</v>
      </c>
      <c r="F144" s="3">
        <v>25544000</v>
      </c>
      <c r="G144" s="3">
        <v>43642000</v>
      </c>
      <c r="H144" s="3">
        <v>34808000</v>
      </c>
      <c r="I144" s="3">
        <v>-82639000</v>
      </c>
      <c r="J144" s="3">
        <v>57709000</v>
      </c>
      <c r="K144" s="3">
        <v>13157000</v>
      </c>
      <c r="L144" s="3">
        <v>-41011000</v>
      </c>
      <c r="M144" s="3">
        <v>30165000</v>
      </c>
      <c r="N144" s="3">
        <v>62008000</v>
      </c>
      <c r="O144" s="4">
        <v>41303000</v>
      </c>
      <c r="P144" s="3" t="s">
        <v>24</v>
      </c>
      <c r="Q144" s="3">
        <v>41303000</v>
      </c>
      <c r="R144" s="3" t="s">
        <v>24</v>
      </c>
      <c r="S144" s="3" t="s">
        <v>24</v>
      </c>
    </row>
    <row r="145" spans="1:19" ht="16" x14ac:dyDescent="0.2">
      <c r="A145" s="2" t="s">
        <v>147</v>
      </c>
      <c r="B145" s="3" t="s">
        <v>24</v>
      </c>
      <c r="C145" s="3" t="s">
        <v>24</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758000</v>
      </c>
      <c r="C146" s="3">
        <v>1263000</v>
      </c>
      <c r="D146" s="3">
        <v>78000</v>
      </c>
      <c r="E146" s="3">
        <v>-5743000</v>
      </c>
      <c r="F146" s="3">
        <v>-716000</v>
      </c>
      <c r="G146" s="3">
        <v>-3592000</v>
      </c>
      <c r="H146" s="3">
        <v>168000</v>
      </c>
      <c r="I146" s="3">
        <v>1274000</v>
      </c>
      <c r="J146" s="3">
        <v>477000</v>
      </c>
      <c r="K146" s="3">
        <v>17132000</v>
      </c>
      <c r="L146" s="3">
        <v>12699000</v>
      </c>
      <c r="M146" s="3">
        <v>14327000</v>
      </c>
      <c r="N146" s="3">
        <v>13233000</v>
      </c>
      <c r="O146" s="4">
        <v>44683000</v>
      </c>
      <c r="P146" s="3" t="s">
        <v>24</v>
      </c>
      <c r="Q146" s="3">
        <v>6938000</v>
      </c>
      <c r="R146" s="3">
        <v>4045000</v>
      </c>
      <c r="S146" s="3">
        <v>4395000</v>
      </c>
    </row>
    <row r="147" spans="1:19" ht="16" x14ac:dyDescent="0.2">
      <c r="A147" s="2" t="s">
        <v>149</v>
      </c>
      <c r="B147" s="3">
        <v>-23319000</v>
      </c>
      <c r="C147" s="3">
        <v>2479000</v>
      </c>
      <c r="D147" s="3">
        <v>30101000</v>
      </c>
      <c r="E147" s="3">
        <v>-9512000</v>
      </c>
      <c r="F147" s="3">
        <v>-47134000</v>
      </c>
      <c r="G147" s="3">
        <v>43797000</v>
      </c>
      <c r="H147" s="3">
        <v>43565000</v>
      </c>
      <c r="I147" s="3">
        <v>-55120000</v>
      </c>
      <c r="J147" s="3">
        <v>1011000</v>
      </c>
      <c r="K147" s="3">
        <v>67683000</v>
      </c>
      <c r="L147" s="3">
        <v>16050000</v>
      </c>
      <c r="M147" s="3">
        <v>-141199000</v>
      </c>
      <c r="N147" s="3">
        <v>-52777000</v>
      </c>
      <c r="O147" s="4">
        <v>-82126000</v>
      </c>
      <c r="P147" s="3" t="s">
        <v>24</v>
      </c>
      <c r="Q147" s="3">
        <v>-82879000</v>
      </c>
      <c r="R147" s="3">
        <v>50333000</v>
      </c>
      <c r="S147" s="3">
        <v>-88704000</v>
      </c>
    </row>
    <row r="148" spans="1:19" ht="16" x14ac:dyDescent="0.2">
      <c r="A148" s="2" t="s">
        <v>150</v>
      </c>
      <c r="B148" s="3">
        <v>-36169000</v>
      </c>
      <c r="C148" s="3">
        <v>-40414000</v>
      </c>
      <c r="D148" s="3">
        <v>-5410000</v>
      </c>
      <c r="E148" s="3">
        <v>-30063000</v>
      </c>
      <c r="F148" s="3">
        <v>-54443000</v>
      </c>
      <c r="G148" s="3">
        <v>-8672000</v>
      </c>
      <c r="H148" s="3">
        <v>-11176000</v>
      </c>
      <c r="I148" s="3">
        <v>-76353000</v>
      </c>
      <c r="J148" s="3">
        <v>-34666000</v>
      </c>
      <c r="K148" s="3">
        <v>30330000</v>
      </c>
      <c r="L148" s="3">
        <v>-49045000</v>
      </c>
      <c r="M148" s="3">
        <v>-125562000</v>
      </c>
      <c r="N148" s="3">
        <v>-13009000</v>
      </c>
      <c r="O148" s="4" t="s">
        <v>24</v>
      </c>
      <c r="P148" s="3" t="s">
        <v>24</v>
      </c>
      <c r="Q148" s="3" t="s">
        <v>24</v>
      </c>
      <c r="R148" s="3" t="s">
        <v>24</v>
      </c>
      <c r="S148" s="3" t="s">
        <v>24</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v>-12760000</v>
      </c>
      <c r="C150" s="3">
        <v>-3506000</v>
      </c>
      <c r="D150" s="3">
        <v>-7956000</v>
      </c>
      <c r="E150" s="3">
        <v>1910000</v>
      </c>
      <c r="F150" s="3">
        <v>-4316000</v>
      </c>
      <c r="G150" s="3">
        <v>-6097000</v>
      </c>
      <c r="H150" s="3">
        <v>-21227000</v>
      </c>
      <c r="I150" s="3">
        <v>-12885000</v>
      </c>
      <c r="J150" s="3">
        <v>-12003000</v>
      </c>
      <c r="K150" s="3">
        <v>-16807000</v>
      </c>
      <c r="L150" s="3">
        <v>-1722000</v>
      </c>
      <c r="M150" s="3">
        <v>-38387000</v>
      </c>
      <c r="N150" s="3">
        <v>-24714000</v>
      </c>
      <c r="O150" s="4" t="s">
        <v>24</v>
      </c>
      <c r="P150" s="3" t="s">
        <v>24</v>
      </c>
      <c r="Q150" s="3" t="s">
        <v>24</v>
      </c>
      <c r="R150" s="3" t="s">
        <v>24</v>
      </c>
      <c r="S150" s="3" t="s">
        <v>24</v>
      </c>
    </row>
    <row r="151" spans="1:19" ht="16" x14ac:dyDescent="0.2">
      <c r="A151" s="2" t="s">
        <v>153</v>
      </c>
      <c r="B151" s="3">
        <v>18447000</v>
      </c>
      <c r="C151" s="3">
        <v>40421000</v>
      </c>
      <c r="D151" s="3">
        <v>10253000</v>
      </c>
      <c r="E151" s="3">
        <v>-1151000</v>
      </c>
      <c r="F151" s="3">
        <v>15751000</v>
      </c>
      <c r="G151" s="3">
        <v>33009000</v>
      </c>
      <c r="H151" s="3">
        <v>28990000</v>
      </c>
      <c r="I151" s="3">
        <v>-13644000</v>
      </c>
      <c r="J151" s="3">
        <v>12931000</v>
      </c>
      <c r="K151" s="3">
        <v>-2967000</v>
      </c>
      <c r="L151" s="3">
        <v>-3202000</v>
      </c>
      <c r="M151" s="3">
        <v>24971000</v>
      </c>
      <c r="N151" s="3">
        <v>29220000</v>
      </c>
      <c r="O151" s="4" t="s">
        <v>24</v>
      </c>
      <c r="P151" s="3" t="s">
        <v>24</v>
      </c>
      <c r="Q151" s="3" t="s">
        <v>24</v>
      </c>
      <c r="R151" s="3" t="s">
        <v>24</v>
      </c>
      <c r="S151" s="3" t="s">
        <v>24</v>
      </c>
    </row>
    <row r="152" spans="1:19" ht="16" x14ac:dyDescent="0.2">
      <c r="A152" s="2" t="s">
        <v>154</v>
      </c>
      <c r="B152" s="3">
        <v>7163000</v>
      </c>
      <c r="C152" s="3">
        <v>5978000</v>
      </c>
      <c r="D152" s="3">
        <v>33214000</v>
      </c>
      <c r="E152" s="3">
        <v>19792000</v>
      </c>
      <c r="F152" s="3">
        <v>-4126000</v>
      </c>
      <c r="G152" s="3">
        <v>25557000</v>
      </c>
      <c r="H152" s="3">
        <v>46978000</v>
      </c>
      <c r="I152" s="3">
        <v>47762000</v>
      </c>
      <c r="J152" s="3">
        <v>34749000</v>
      </c>
      <c r="K152" s="3">
        <v>57127000</v>
      </c>
      <c r="L152" s="3">
        <v>70019000</v>
      </c>
      <c r="M152" s="3">
        <v>-2221000</v>
      </c>
      <c r="N152" s="3">
        <v>-44274000</v>
      </c>
      <c r="O152" s="4">
        <v>-82126000</v>
      </c>
      <c r="P152" s="3" t="s">
        <v>24</v>
      </c>
      <c r="Q152" s="3">
        <v>-82879000</v>
      </c>
      <c r="R152" s="3">
        <v>50333000</v>
      </c>
      <c r="S152" s="3">
        <v>-88704000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141076000</v>
      </c>
      <c r="C154" s="3">
        <v>277380000</v>
      </c>
      <c r="D154" s="3">
        <v>328056000</v>
      </c>
      <c r="E154" s="3">
        <v>350666000</v>
      </c>
      <c r="F154" s="3">
        <v>391674000</v>
      </c>
      <c r="G154" s="3">
        <v>553880000</v>
      </c>
      <c r="H154" s="3">
        <v>565583000</v>
      </c>
      <c r="I154" s="3">
        <v>536294000</v>
      </c>
      <c r="J154" s="3">
        <v>900116000</v>
      </c>
      <c r="K154" s="3">
        <v>983888000</v>
      </c>
      <c r="L154" s="3">
        <v>933024000</v>
      </c>
      <c r="M154" s="3">
        <v>1212606000</v>
      </c>
      <c r="N154" s="3">
        <v>1691582000</v>
      </c>
      <c r="O154" s="4">
        <v>1578736000</v>
      </c>
      <c r="P154" s="3" t="s">
        <v>24</v>
      </c>
      <c r="Q154" s="3">
        <v>361348000</v>
      </c>
      <c r="R154" s="3">
        <v>415367000</v>
      </c>
      <c r="S154" s="3">
        <v>287840000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v>2050000</v>
      </c>
      <c r="C156" s="3">
        <v>5436000</v>
      </c>
      <c r="D156" s="3">
        <v>12018000</v>
      </c>
      <c r="E156" s="3">
        <v>11235000</v>
      </c>
      <c r="F156" s="3">
        <v>21866000</v>
      </c>
      <c r="G156" s="3">
        <v>24442000</v>
      </c>
      <c r="H156" s="3">
        <v>10541000</v>
      </c>
      <c r="I156" s="3">
        <v>12240000</v>
      </c>
      <c r="J156" s="3">
        <v>6983000</v>
      </c>
      <c r="K156" s="3">
        <v>5686000</v>
      </c>
      <c r="L156" s="3">
        <v>3690000</v>
      </c>
      <c r="M156" s="3">
        <v>19548000</v>
      </c>
      <c r="N156" s="3">
        <v>22096000</v>
      </c>
      <c r="O156" s="4">
        <v>20778000</v>
      </c>
      <c r="P156" s="3" t="s">
        <v>24</v>
      </c>
      <c r="Q156" s="3">
        <v>2052000</v>
      </c>
      <c r="R156" s="3">
        <v>10283000</v>
      </c>
      <c r="S156" s="3">
        <v>7327000</v>
      </c>
    </row>
    <row r="157" spans="1:19" ht="16" x14ac:dyDescent="0.2">
      <c r="A157" s="2" t="s">
        <v>159</v>
      </c>
      <c r="B157" s="3">
        <v>2050000</v>
      </c>
      <c r="C157" s="3">
        <v>5436000</v>
      </c>
      <c r="D157" s="3">
        <v>12018000</v>
      </c>
      <c r="E157" s="3">
        <v>11235000</v>
      </c>
      <c r="F157" s="3">
        <v>21866000</v>
      </c>
      <c r="G157" s="3">
        <v>24442000</v>
      </c>
      <c r="H157" s="3">
        <v>10541000</v>
      </c>
      <c r="I157" s="3">
        <v>12240000</v>
      </c>
      <c r="J157" s="3">
        <v>6983000</v>
      </c>
      <c r="K157" s="3">
        <v>5686000</v>
      </c>
      <c r="L157" s="3">
        <v>3690000</v>
      </c>
      <c r="M157" s="3">
        <v>19548000</v>
      </c>
      <c r="N157" s="3">
        <v>22096000</v>
      </c>
      <c r="O157" s="4">
        <v>20778000</v>
      </c>
      <c r="P157" s="3" t="s">
        <v>24</v>
      </c>
      <c r="Q157" s="3">
        <v>2052000</v>
      </c>
      <c r="R157" s="3">
        <v>10283000</v>
      </c>
      <c r="S157" s="3">
        <v>7327000</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-106347000</v>
      </c>
      <c r="C159" s="3">
        <v>-250214000</v>
      </c>
      <c r="D159" s="3">
        <v>-373193000</v>
      </c>
      <c r="E159" s="3">
        <v>-295606000</v>
      </c>
      <c r="F159" s="3">
        <v>-367680000</v>
      </c>
      <c r="G159" s="3">
        <v>-462059000</v>
      </c>
      <c r="H159" s="3">
        <v>-417941000</v>
      </c>
      <c r="I159" s="3">
        <v>-382125000</v>
      </c>
      <c r="J159" s="3">
        <v>-588292000</v>
      </c>
      <c r="K159" s="3">
        <v>-479325000</v>
      </c>
      <c r="L159" s="3">
        <v>-225081000</v>
      </c>
      <c r="M159" s="3">
        <v>-550077000</v>
      </c>
      <c r="N159" s="3">
        <v>-775148000</v>
      </c>
      <c r="O159" s="4">
        <v>-931481000</v>
      </c>
      <c r="P159" s="3" t="s">
        <v>24</v>
      </c>
      <c r="Q159" s="3">
        <v>-270366000</v>
      </c>
      <c r="R159" s="3">
        <v>-234736000</v>
      </c>
      <c r="S159" s="3">
        <v>-244660000</v>
      </c>
    </row>
    <row r="160" spans="1:19" ht="16" x14ac:dyDescent="0.2">
      <c r="A160" s="2" t="s">
        <v>162</v>
      </c>
      <c r="B160" s="3">
        <v>-106347000</v>
      </c>
      <c r="C160" s="3">
        <v>-250214000</v>
      </c>
      <c r="D160" s="3">
        <v>-373193000</v>
      </c>
      <c r="E160" s="3">
        <v>-295606000</v>
      </c>
      <c r="F160" s="3">
        <v>-367680000</v>
      </c>
      <c r="G160" s="3">
        <v>-462059000</v>
      </c>
      <c r="H160" s="3">
        <v>-417941000</v>
      </c>
      <c r="I160" s="3">
        <v>-382125000</v>
      </c>
      <c r="J160" s="3">
        <v>-588292000</v>
      </c>
      <c r="K160" s="3">
        <v>-479325000</v>
      </c>
      <c r="L160" s="3">
        <v>-225081000</v>
      </c>
      <c r="M160" s="3">
        <v>-550077000</v>
      </c>
      <c r="N160" s="3">
        <v>-775148000</v>
      </c>
      <c r="O160" s="4">
        <v>-931481000</v>
      </c>
      <c r="P160" s="3" t="s">
        <v>24</v>
      </c>
      <c r="Q160" s="3">
        <v>-270366000</v>
      </c>
      <c r="R160" s="3">
        <v>-234736000</v>
      </c>
      <c r="S160" s="3">
        <v>-244660000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t="s">
        <v>24</v>
      </c>
      <c r="C162" s="3" t="s">
        <v>24</v>
      </c>
      <c r="D162" s="3" t="s">
        <v>24</v>
      </c>
      <c r="E162" s="3" t="s">
        <v>24</v>
      </c>
      <c r="F162" s="3" t="s">
        <v>24</v>
      </c>
      <c r="G162" s="3" t="s">
        <v>24</v>
      </c>
      <c r="H162" s="3" t="s">
        <v>24</v>
      </c>
      <c r="I162" s="3" t="s">
        <v>24</v>
      </c>
      <c r="J162" s="3" t="s">
        <v>24</v>
      </c>
      <c r="K162" s="3" t="s">
        <v>24</v>
      </c>
      <c r="L162" s="3">
        <v>-330172000</v>
      </c>
      <c r="M162" s="3">
        <v>75741000</v>
      </c>
      <c r="N162" s="3">
        <v>205580000</v>
      </c>
      <c r="O162" s="4">
        <v>224545000</v>
      </c>
      <c r="P162" s="3" t="s">
        <v>24</v>
      </c>
      <c r="Q162" s="3">
        <v>109677000</v>
      </c>
      <c r="R162" s="3">
        <v>24578000</v>
      </c>
      <c r="S162" s="3">
        <v>24274000</v>
      </c>
    </row>
    <row r="163" spans="1:19" ht="16" x14ac:dyDescent="0.2">
      <c r="A163" s="2" t="s">
        <v>165</v>
      </c>
      <c r="B163" s="3" t="s">
        <v>24</v>
      </c>
      <c r="C163" s="3" t="s">
        <v>24</v>
      </c>
      <c r="D163" s="3" t="s">
        <v>24</v>
      </c>
      <c r="E163" s="3" t="s">
        <v>24</v>
      </c>
      <c r="F163" s="3" t="s">
        <v>24</v>
      </c>
      <c r="G163" s="3" t="s">
        <v>24</v>
      </c>
      <c r="H163" s="3" t="s">
        <v>24</v>
      </c>
      <c r="I163" s="3" t="s">
        <v>24</v>
      </c>
      <c r="J163" s="3" t="s">
        <v>24</v>
      </c>
      <c r="K163" s="3" t="s">
        <v>24</v>
      </c>
      <c r="L163" s="3">
        <v>29988000</v>
      </c>
      <c r="M163" s="3">
        <v>435130000</v>
      </c>
      <c r="N163" s="3">
        <v>369300000</v>
      </c>
      <c r="O163" s="4">
        <v>288268000</v>
      </c>
      <c r="P163" s="3" t="s">
        <v>24</v>
      </c>
      <c r="Q163" s="3">
        <v>109677000</v>
      </c>
      <c r="R163" s="3">
        <v>24578000</v>
      </c>
      <c r="S163" s="3">
        <v>24274000</v>
      </c>
    </row>
    <row r="164" spans="1:19" ht="16" x14ac:dyDescent="0.2">
      <c r="A164" s="2" t="s">
        <v>166</v>
      </c>
      <c r="B164" s="3" t="s">
        <v>24</v>
      </c>
      <c r="C164" s="3" t="s">
        <v>24</v>
      </c>
      <c r="D164" s="3" t="s">
        <v>24</v>
      </c>
      <c r="E164" s="3" t="s">
        <v>24</v>
      </c>
      <c r="F164" s="3" t="s">
        <v>24</v>
      </c>
      <c r="G164" s="3" t="s">
        <v>24</v>
      </c>
      <c r="H164" s="3" t="s">
        <v>24</v>
      </c>
      <c r="I164" s="3" t="s">
        <v>24</v>
      </c>
      <c r="J164" s="3" t="s">
        <v>24</v>
      </c>
      <c r="K164" s="3" t="s">
        <v>24</v>
      </c>
      <c r="L164" s="3">
        <v>-360160000</v>
      </c>
      <c r="M164" s="3">
        <v>-359389000</v>
      </c>
      <c r="N164" s="3">
        <v>-163720000</v>
      </c>
      <c r="O164" s="4">
        <v>-63723000</v>
      </c>
      <c r="P164" s="3" t="s">
        <v>24</v>
      </c>
      <c r="Q164" s="3" t="s">
        <v>24</v>
      </c>
      <c r="R164" s="3" t="s">
        <v>24</v>
      </c>
      <c r="S164" s="3" t="s">
        <v>24</v>
      </c>
    </row>
    <row r="165" spans="1:19" ht="16" x14ac:dyDescent="0.2">
      <c r="A165" s="2" t="s">
        <v>167</v>
      </c>
      <c r="B165" s="3" t="s">
        <v>24</v>
      </c>
      <c r="C165" s="3" t="s">
        <v>24</v>
      </c>
      <c r="D165" s="3" t="s">
        <v>24</v>
      </c>
      <c r="E165" s="3" t="s">
        <v>24</v>
      </c>
      <c r="F165" s="3" t="s">
        <v>24</v>
      </c>
      <c r="G165" s="3" t="s">
        <v>24</v>
      </c>
      <c r="H165" s="3" t="s">
        <v>24</v>
      </c>
      <c r="I165" s="3" t="s">
        <v>24</v>
      </c>
      <c r="J165" s="3" t="s">
        <v>24</v>
      </c>
      <c r="K165" s="3" t="s">
        <v>24</v>
      </c>
      <c r="L165" s="3" t="s">
        <v>24</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t="s">
        <v>24</v>
      </c>
      <c r="F167" s="3" t="s">
        <v>24</v>
      </c>
      <c r="G167" s="3" t="s">
        <v>24</v>
      </c>
      <c r="H167" s="3" t="s">
        <v>24</v>
      </c>
      <c r="I167" s="3" t="s">
        <v>24</v>
      </c>
      <c r="J167" s="3" t="s">
        <v>24</v>
      </c>
      <c r="K167" s="3" t="s">
        <v>24</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t="s">
        <v>24</v>
      </c>
      <c r="C169" s="3" t="s">
        <v>24</v>
      </c>
      <c r="D169" s="3" t="s">
        <v>24</v>
      </c>
      <c r="E169" s="3" t="s">
        <v>24</v>
      </c>
      <c r="F169" s="3" t="s">
        <v>24</v>
      </c>
      <c r="G169" s="3" t="s">
        <v>24</v>
      </c>
      <c r="H169" s="3" t="s">
        <v>24</v>
      </c>
      <c r="I169" s="3">
        <v>2139000</v>
      </c>
      <c r="J169" s="3">
        <v>918000</v>
      </c>
      <c r="K169" s="3" t="s">
        <v>24</v>
      </c>
      <c r="L169" s="3">
        <v>-100000</v>
      </c>
      <c r="M169" s="3">
        <v>-500000</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-104297000</v>
      </c>
      <c r="C171" s="3">
        <v>-244778000</v>
      </c>
      <c r="D171" s="3">
        <v>-361175000</v>
      </c>
      <c r="E171" s="3">
        <v>-284371000</v>
      </c>
      <c r="F171" s="3">
        <v>-345814000</v>
      </c>
      <c r="G171" s="3">
        <v>-437617000</v>
      </c>
      <c r="H171" s="3">
        <v>-407400000</v>
      </c>
      <c r="I171" s="3">
        <v>-367746000</v>
      </c>
      <c r="J171" s="3">
        <v>-580391000</v>
      </c>
      <c r="K171" s="3">
        <v>-473639000</v>
      </c>
      <c r="L171" s="3">
        <v>-551663000</v>
      </c>
      <c r="M171" s="3">
        <v>-455288000</v>
      </c>
      <c r="N171" s="3">
        <v>-547472000</v>
      </c>
      <c r="O171" s="4">
        <v>-686158000</v>
      </c>
      <c r="P171" s="3" t="s">
        <v>24</v>
      </c>
      <c r="Q171" s="3">
        <v>-158637000</v>
      </c>
      <c r="R171" s="3">
        <v>-199875000</v>
      </c>
      <c r="S171" s="3">
        <v>-213059000</v>
      </c>
    </row>
    <row r="172" spans="1:19" ht="16" x14ac:dyDescent="0.2">
      <c r="A172" s="2" t="s">
        <v>173</v>
      </c>
      <c r="B172" s="3" t="s">
        <v>24</v>
      </c>
      <c r="C172" s="3" t="s">
        <v>24</v>
      </c>
      <c r="D172" s="3" t="s">
        <v>24</v>
      </c>
      <c r="E172" s="3" t="s">
        <v>24</v>
      </c>
      <c r="F172" s="3" t="s">
        <v>24</v>
      </c>
      <c r="G172" s="3" t="s">
        <v>24</v>
      </c>
      <c r="H172" s="3" t="s">
        <v>24</v>
      </c>
      <c r="I172" s="3">
        <v>-32925000</v>
      </c>
      <c r="J172" s="3">
        <v>-42566000</v>
      </c>
      <c r="K172" s="3">
        <v>-54552000</v>
      </c>
      <c r="L172" s="3">
        <v>-71023000</v>
      </c>
      <c r="M172" s="3">
        <v>-92366000</v>
      </c>
      <c r="N172" s="3">
        <v>-134484000</v>
      </c>
      <c r="O172" s="4">
        <v>-154276000</v>
      </c>
      <c r="P172" s="3" t="s">
        <v>24</v>
      </c>
      <c r="Q172" s="3">
        <v>-33044000</v>
      </c>
      <c r="R172" s="3">
        <v>-44052000</v>
      </c>
      <c r="S172" s="3">
        <v>-43775000</v>
      </c>
    </row>
    <row r="173" spans="1:19" ht="16" x14ac:dyDescent="0.2">
      <c r="A173" s="2" t="s">
        <v>174</v>
      </c>
      <c r="B173" s="3">
        <v>-35498000</v>
      </c>
      <c r="C173" s="3">
        <v>55628000</v>
      </c>
      <c r="D173" s="3">
        <v>-29872000</v>
      </c>
      <c r="E173" s="3">
        <v>-48978000</v>
      </c>
      <c r="F173" s="3">
        <v>-35715000</v>
      </c>
      <c r="G173" s="3">
        <v>-25461000</v>
      </c>
      <c r="H173" s="3">
        <v>-28830000</v>
      </c>
      <c r="I173" s="3">
        <v>-9975000</v>
      </c>
      <c r="J173" s="3">
        <v>-50000000</v>
      </c>
      <c r="K173" s="3" t="s">
        <v>24</v>
      </c>
      <c r="L173" s="3">
        <v>54923000</v>
      </c>
      <c r="M173" s="3" t="s">
        <v>24</v>
      </c>
      <c r="N173" s="3" t="s">
        <v>24</v>
      </c>
      <c r="O173" s="4" t="s">
        <v>24</v>
      </c>
      <c r="P173" s="3" t="s">
        <v>24</v>
      </c>
      <c r="Q173" s="3" t="s">
        <v>24</v>
      </c>
      <c r="R173" s="3" t="s">
        <v>24</v>
      </c>
      <c r="S173" s="3" t="s">
        <v>24</v>
      </c>
    </row>
    <row r="174" spans="1:19" ht="16" x14ac:dyDescent="0.2">
      <c r="A174" s="2" t="s">
        <v>175</v>
      </c>
      <c r="B174" s="3">
        <v>1183000</v>
      </c>
      <c r="C174" s="3">
        <v>96010000</v>
      </c>
      <c r="D174" s="3">
        <v>10412000</v>
      </c>
      <c r="E174" s="3" t="s">
        <v>24</v>
      </c>
      <c r="F174" s="3" t="s">
        <v>24</v>
      </c>
      <c r="G174" s="3">
        <v>12317000</v>
      </c>
      <c r="H174" s="3" t="s">
        <v>24</v>
      </c>
      <c r="I174" s="3" t="s">
        <v>24</v>
      </c>
      <c r="J174" s="3" t="s">
        <v>24</v>
      </c>
      <c r="K174" s="3" t="s">
        <v>24</v>
      </c>
      <c r="L174" s="3">
        <v>99923000</v>
      </c>
      <c r="M174" s="3" t="s">
        <v>24</v>
      </c>
      <c r="N174" s="3" t="s">
        <v>24</v>
      </c>
      <c r="O174" s="4" t="s">
        <v>24</v>
      </c>
      <c r="P174" s="3" t="s">
        <v>24</v>
      </c>
      <c r="Q174" s="3" t="s">
        <v>24</v>
      </c>
      <c r="R174" s="3" t="s">
        <v>24</v>
      </c>
      <c r="S174" s="3" t="s">
        <v>24</v>
      </c>
    </row>
    <row r="175" spans="1:19" ht="16" x14ac:dyDescent="0.2">
      <c r="A175" s="2" t="s">
        <v>176</v>
      </c>
      <c r="B175" s="3">
        <v>-36681000</v>
      </c>
      <c r="C175" s="3">
        <v>-40382000</v>
      </c>
      <c r="D175" s="3">
        <v>-40284000</v>
      </c>
      <c r="E175" s="3">
        <v>-48978000</v>
      </c>
      <c r="F175" s="3">
        <v>-35715000</v>
      </c>
      <c r="G175" s="3">
        <v>-37778000</v>
      </c>
      <c r="H175" s="3">
        <v>-28830000</v>
      </c>
      <c r="I175" s="3">
        <v>-9975000</v>
      </c>
      <c r="J175" s="3">
        <v>-50000000</v>
      </c>
      <c r="K175" s="3" t="s">
        <v>24</v>
      </c>
      <c r="L175" s="3">
        <v>-45000000</v>
      </c>
      <c r="M175" s="3" t="s">
        <v>24</v>
      </c>
      <c r="N175" s="3" t="s">
        <v>24</v>
      </c>
      <c r="O175" s="4" t="s">
        <v>24</v>
      </c>
      <c r="P175" s="3" t="s">
        <v>24</v>
      </c>
      <c r="Q175" s="3" t="s">
        <v>24</v>
      </c>
      <c r="R175" s="3" t="s">
        <v>24</v>
      </c>
      <c r="S175" s="3" t="s">
        <v>24</v>
      </c>
    </row>
    <row r="176" spans="1:19" ht="16" x14ac:dyDescent="0.2">
      <c r="A176" s="2" t="s">
        <v>177</v>
      </c>
      <c r="B176" s="3" t="s">
        <v>24</v>
      </c>
      <c r="C176" s="3">
        <v>48400000</v>
      </c>
      <c r="D176" s="3" t="s">
        <v>24</v>
      </c>
      <c r="E176" s="3" t="s">
        <v>24</v>
      </c>
      <c r="F176" s="3">
        <v>-5532000</v>
      </c>
      <c r="G176" s="3">
        <v>-114117000</v>
      </c>
      <c r="H176" s="3">
        <v>-130316000</v>
      </c>
      <c r="I176" s="3">
        <v>-8013000</v>
      </c>
      <c r="J176" s="3">
        <v>-163265000</v>
      </c>
      <c r="K176" s="3">
        <v>-240960000</v>
      </c>
      <c r="L176" s="3">
        <v>-364057000</v>
      </c>
      <c r="M176" s="3">
        <v>-536465000</v>
      </c>
      <c r="N176" s="3">
        <v>-1277219000</v>
      </c>
      <c r="O176" s="4">
        <v>-847544000</v>
      </c>
      <c r="P176" s="3" t="s">
        <v>24</v>
      </c>
      <c r="Q176" s="3">
        <v>-199918000</v>
      </c>
      <c r="R176" s="3">
        <v>-141666000</v>
      </c>
      <c r="S176" s="3">
        <v>-160529000</v>
      </c>
    </row>
    <row r="177" spans="1:1022 1027:2048 2053:3060 3074:4086 4100:5112 5126:6138 6152:7164 7178:8190 8204:9216 9230:10237 10242:11263 11268:12275 12289:13301 13315:14327 14341:15353 15367:16379" ht="16" x14ac:dyDescent="0.2">
      <c r="A177" s="2" t="s">
        <v>178</v>
      </c>
      <c r="B177" s="3" t="s">
        <v>24</v>
      </c>
      <c r="C177" s="3">
        <v>48400000</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t="s">
        <v>24</v>
      </c>
      <c r="C178" s="3" t="s">
        <v>24</v>
      </c>
      <c r="D178" s="3" t="s">
        <v>24</v>
      </c>
      <c r="E178" s="3" t="s">
        <v>24</v>
      </c>
      <c r="F178" s="3">
        <v>-5532000</v>
      </c>
      <c r="G178" s="3">
        <v>-114117000</v>
      </c>
      <c r="H178" s="3">
        <v>-130316000</v>
      </c>
      <c r="I178" s="3">
        <v>-8013000</v>
      </c>
      <c r="J178" s="3">
        <v>-163265000</v>
      </c>
      <c r="K178" s="3">
        <v>-240960000</v>
      </c>
      <c r="L178" s="3">
        <v>-364057000</v>
      </c>
      <c r="M178" s="3">
        <v>-536465000</v>
      </c>
      <c r="N178" s="3">
        <v>-1277219000</v>
      </c>
      <c r="O178" s="4">
        <v>-847544000</v>
      </c>
      <c r="P178" s="3" t="s">
        <v>24</v>
      </c>
      <c r="Q178" s="3">
        <v>-199918000</v>
      </c>
      <c r="R178" s="3">
        <v>-141666000</v>
      </c>
      <c r="S178" s="3">
        <v>-160529000</v>
      </c>
    </row>
    <row r="179" spans="1:1022 1027:2048 2053:3060 3074:4086 4100:5112 5126:6138 6152:7164 7178:8190 8204:9216 9230:10237 10242:11263 11268:12275 12289:13301 13315:14327 14341:15353 15367:16379" ht="16" x14ac:dyDescent="0.2">
      <c r="A179" s="2" t="s">
        <v>180</v>
      </c>
      <c r="B179" s="3">
        <v>-2000</v>
      </c>
      <c r="C179" s="3">
        <v>-66230000</v>
      </c>
      <c r="D179" s="3">
        <v>-2000</v>
      </c>
      <c r="E179" s="3" t="s">
        <v>24</v>
      </c>
      <c r="F179" s="3" t="s">
        <v>24</v>
      </c>
      <c r="G179" s="3" t="s">
        <v>24</v>
      </c>
      <c r="H179" s="3">
        <v>-338000</v>
      </c>
      <c r="I179" s="3">
        <v>-344000</v>
      </c>
      <c r="J179" s="3">
        <v>-1074000</v>
      </c>
      <c r="K179" s="3">
        <v>-1448000</v>
      </c>
      <c r="L179" s="3">
        <v>-3345000</v>
      </c>
      <c r="M179" s="3">
        <v>-67353000</v>
      </c>
      <c r="N179" s="3">
        <v>-8659000</v>
      </c>
      <c r="O179" s="4">
        <v>-31751000</v>
      </c>
      <c r="P179" s="3" t="s">
        <v>24</v>
      </c>
      <c r="Q179" s="3">
        <v>-164000</v>
      </c>
      <c r="R179" s="3">
        <v>-8462000</v>
      </c>
      <c r="S179" s="3">
        <v>-22960000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-35500000</v>
      </c>
      <c r="C181" s="3">
        <v>37798000</v>
      </c>
      <c r="D181" s="3">
        <v>-29874000</v>
      </c>
      <c r="E181" s="3">
        <v>-48978000</v>
      </c>
      <c r="F181" s="3">
        <v>-41247000</v>
      </c>
      <c r="G181" s="3">
        <v>-139578000</v>
      </c>
      <c r="H181" s="3">
        <v>-159484000</v>
      </c>
      <c r="I181" s="3">
        <v>-51257000</v>
      </c>
      <c r="J181" s="3">
        <v>-256905000</v>
      </c>
      <c r="K181" s="3">
        <v>-296960000</v>
      </c>
      <c r="L181" s="3">
        <v>-383502000</v>
      </c>
      <c r="M181" s="3">
        <v>-696184000</v>
      </c>
      <c r="N181" s="3">
        <v>-1420362000</v>
      </c>
      <c r="O181" s="4">
        <v>-1033571000</v>
      </c>
      <c r="P181" s="3" t="s">
        <v>24</v>
      </c>
      <c r="Q181" s="3">
        <v>-233126000</v>
      </c>
      <c r="R181" s="3">
        <v>-194180000</v>
      </c>
      <c r="S181" s="3">
        <v>-227264000</v>
      </c>
    </row>
    <row r="182" spans="1:1022 1027:2048 2053:3060 3074:4086 4100:5112 5126:6138 6152:7164 7178:8190 8204:9216 9230:10237 10242:11263 11268:12275 12289:13301 13315:14327 14341:15353 15367:16379"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022 1027:2048 2053:3060 3074:4086 4100:5112 5126:6138 6152:7164 7178:8190 8204:9216 9230:10237 10242:11263 11268:12275 12289:13301 13315:14327 14341:15353 15367:16379" ht="16" x14ac:dyDescent="0.2">
      <c r="A183" s="2" t="s">
        <v>183</v>
      </c>
      <c r="B183" s="3">
        <v>1279000</v>
      </c>
      <c r="C183" s="3">
        <v>70400000</v>
      </c>
      <c r="D183" s="3">
        <v>-62993000</v>
      </c>
      <c r="E183" s="3">
        <v>17317000</v>
      </c>
      <c r="F183" s="3">
        <v>4613000</v>
      </c>
      <c r="G183" s="3">
        <v>-23315000</v>
      </c>
      <c r="H183" s="3">
        <v>-1301000</v>
      </c>
      <c r="I183" s="3">
        <v>117291000</v>
      </c>
      <c r="J183" s="3">
        <v>62820000</v>
      </c>
      <c r="K183" s="3">
        <v>213289000</v>
      </c>
      <c r="L183" s="3">
        <v>-2141000</v>
      </c>
      <c r="M183" s="3">
        <v>61134000</v>
      </c>
      <c r="N183" s="3">
        <v>-276252000</v>
      </c>
      <c r="O183" s="4">
        <v>-140993000</v>
      </c>
      <c r="P183" s="3" t="s">
        <v>24</v>
      </c>
      <c r="Q183" s="3">
        <v>-30415000</v>
      </c>
      <c r="R183" s="3">
        <v>21312000</v>
      </c>
      <c r="S183" s="3">
        <v>-152483000</v>
      </c>
    </row>
    <row r="184" spans="1:1022 1027:2048 2053:3060 3074:4086 4100:5112 5126:6138 6152:7164 7178:8190 8204:9216 9230:10237 10242:11263 11268:12275 12289:13301 13315:14327 14341:15353 15367:16379" ht="16" x14ac:dyDescent="0.2">
      <c r="A184" s="2" t="s">
        <v>54</v>
      </c>
      <c r="B184" s="3">
        <v>299247000</v>
      </c>
      <c r="C184" s="3">
        <v>324892000</v>
      </c>
      <c r="D184" s="3">
        <v>395997000</v>
      </c>
      <c r="E184" s="3">
        <v>465510000</v>
      </c>
      <c r="F184" s="3">
        <v>587773000</v>
      </c>
      <c r="G184" s="3">
        <v>663583000</v>
      </c>
      <c r="H184" s="3">
        <v>673702000</v>
      </c>
      <c r="I184" s="3">
        <v>781649000</v>
      </c>
      <c r="J184" s="3">
        <v>1047408000</v>
      </c>
      <c r="K184" s="3">
        <v>1072387000</v>
      </c>
      <c r="L184" s="3">
        <v>1168149000</v>
      </c>
      <c r="M184" s="3">
        <v>1651501000</v>
      </c>
      <c r="N184" s="3">
        <v>2116698000</v>
      </c>
      <c r="O184" s="4">
        <v>1997098000</v>
      </c>
      <c r="P184" s="3">
        <v>496080000</v>
      </c>
      <c r="Q184" s="3">
        <v>502286000</v>
      </c>
      <c r="R184" s="3">
        <v>459000000</v>
      </c>
      <c r="S184" s="3">
        <v>471381000</v>
      </c>
    </row>
    <row r="185" spans="1:1022 1027:2048 2053:3060 3074:4086 4100:5112 5126:6138 6152:7164 7178:8190 8204:9216 9230:10237 10242:11263 11268:12275 12289:13301 13315:14327 14341:15353 15367:16379" ht="16" x14ac:dyDescent="0.2">
      <c r="A185" s="2" t="s">
        <v>55</v>
      </c>
      <c r="B185" s="5">
        <v>20.21</v>
      </c>
      <c r="C185" s="5">
        <v>17.260000000000002</v>
      </c>
      <c r="D185" s="5">
        <v>18.760000000000002</v>
      </c>
      <c r="E185" s="5">
        <v>19.91</v>
      </c>
      <c r="F185" s="5">
        <v>21.08</v>
      </c>
      <c r="G185" s="5">
        <v>22.32</v>
      </c>
      <c r="H185" s="5">
        <v>22.52</v>
      </c>
      <c r="I185" s="5">
        <v>23.28</v>
      </c>
      <c r="J185" s="5">
        <v>25.9</v>
      </c>
      <c r="K185" s="5">
        <v>26.1</v>
      </c>
      <c r="L185" s="5">
        <v>29.09</v>
      </c>
      <c r="M185" s="5">
        <v>31.42</v>
      </c>
      <c r="N185" s="5">
        <v>33.81</v>
      </c>
      <c r="O185" s="6">
        <v>33.56</v>
      </c>
      <c r="P185" s="3" t="s">
        <v>24</v>
      </c>
      <c r="Q185" s="5">
        <v>33.81</v>
      </c>
      <c r="R185" s="5">
        <v>33.89</v>
      </c>
      <c r="S185" s="5">
        <v>33.56</v>
      </c>
    </row>
    <row r="186" spans="1:1022 1027:2048 2053:3060 3074:4086 4100:5112 5126:6138 6152:7164 7178:8190 8204:9216 9230:10237 10242:11263 11268:12275 12289:13301 13315:14327 14341:15353 15367:16379" ht="16" x14ac:dyDescent="0.2">
      <c r="A186" s="2" t="s">
        <v>184</v>
      </c>
      <c r="B186" s="3" t="s">
        <v>24</v>
      </c>
      <c r="C186" s="3" t="s">
        <v>24</v>
      </c>
      <c r="D186" s="3" t="s">
        <v>24</v>
      </c>
      <c r="E186" s="3" t="s">
        <v>24</v>
      </c>
      <c r="F186" s="3" t="s">
        <v>24</v>
      </c>
      <c r="G186" s="3" t="s">
        <v>24</v>
      </c>
      <c r="H186" s="3" t="s">
        <v>24</v>
      </c>
      <c r="I186" s="3" t="s">
        <v>24</v>
      </c>
      <c r="J186" s="3" t="s">
        <v>24</v>
      </c>
      <c r="K186" s="3" t="s">
        <v>24</v>
      </c>
      <c r="L186" s="3" t="s">
        <v>24</v>
      </c>
      <c r="M186" s="3" t="s">
        <v>24</v>
      </c>
      <c r="N186" s="3" t="s">
        <v>24</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ht="16" x14ac:dyDescent="0.2">
      <c r="A187" s="2" t="s">
        <v>185</v>
      </c>
      <c r="B187" s="3">
        <v>34729000</v>
      </c>
      <c r="C187" s="3">
        <v>27166000</v>
      </c>
      <c r="D187" s="3">
        <v>-45137000</v>
      </c>
      <c r="E187" s="3">
        <v>55060000</v>
      </c>
      <c r="F187" s="3">
        <v>23994000</v>
      </c>
      <c r="G187" s="3">
        <v>91821000</v>
      </c>
      <c r="H187" s="3">
        <v>147642000</v>
      </c>
      <c r="I187" s="3">
        <v>154169000</v>
      </c>
      <c r="J187" s="3">
        <v>311824000</v>
      </c>
      <c r="K187" s="3">
        <v>504563000</v>
      </c>
      <c r="L187" s="3">
        <v>707943000</v>
      </c>
      <c r="M187" s="3">
        <v>662529000</v>
      </c>
      <c r="N187" s="3">
        <v>916434000</v>
      </c>
      <c r="O187" s="4">
        <v>647255000</v>
      </c>
      <c r="P187" s="3" t="s">
        <v>24</v>
      </c>
      <c r="Q187" s="3">
        <v>90982000</v>
      </c>
      <c r="R187" s="3">
        <v>180631000</v>
      </c>
      <c r="S187" s="3">
        <v>43180000</v>
      </c>
    </row>
    <row r="188" spans="1:1022 1027:2048 2053:3060 3074:4086 4100:5112 5126:6138 6152:7164 7178:8190 8204:9216 9230:10237 10242:11263 11268:12275 12289:13301 13315:14327 14341:15353 15367:16379" ht="16" x14ac:dyDescent="0.2">
      <c r="A188" s="29" t="s">
        <v>186</v>
      </c>
      <c r="B188" s="30">
        <v>42307719</v>
      </c>
      <c r="C188" s="30">
        <v>35966367</v>
      </c>
      <c r="D188" s="30">
        <v>-37976034</v>
      </c>
      <c r="E188" s="30">
        <v>61092527</v>
      </c>
      <c r="F188" s="30">
        <v>28082348</v>
      </c>
      <c r="G188" s="30">
        <v>95060551</v>
      </c>
      <c r="H188" s="30">
        <v>150324766</v>
      </c>
      <c r="I188" s="30">
        <v>155903828</v>
      </c>
      <c r="J188" s="30">
        <v>311964367</v>
      </c>
      <c r="K188" s="30">
        <v>504844632</v>
      </c>
      <c r="L188" s="30">
        <v>710019188</v>
      </c>
      <c r="M188" s="30">
        <v>663815615</v>
      </c>
      <c r="N188" s="30">
        <v>917602980</v>
      </c>
      <c r="O188" s="31">
        <v>648430073</v>
      </c>
      <c r="P188" s="30">
        <v>758507</v>
      </c>
      <c r="Q188" s="30">
        <v>91191953</v>
      </c>
      <c r="R188" s="30">
        <v>180779400</v>
      </c>
      <c r="S188" s="30">
        <v>43246391</v>
      </c>
    </row>
    <row r="189" spans="1:1022 1027:2048 2053:3060 3074:4086 4100:5112 5126:6138 6152:7164 7178:8190 8204:9216 9230:10237 10242:11263 11268:12275 12289:13301 13315:14327 14341:15353 15367:16379" ht="19" x14ac:dyDescent="0.25">
      <c r="A189" s="40" t="s">
        <v>199</v>
      </c>
      <c r="B189" s="41"/>
      <c r="C189" s="42">
        <f>(C188/B188)-1</f>
        <v>-0.1498864072534849</v>
      </c>
      <c r="D189" s="42">
        <f>(D188/C188)-1</f>
        <v>-2.0558762857532984</v>
      </c>
      <c r="E189" s="42">
        <f>(E188/D188)-1</f>
        <v>-2.6087126686267448</v>
      </c>
      <c r="F189" s="42">
        <f t="shared" ref="F189:N189" si="8">(F188/E188)-1</f>
        <v>-0.54033088204061364</v>
      </c>
      <c r="G189" s="42">
        <f t="shared" si="8"/>
        <v>2.3850642047452726</v>
      </c>
      <c r="H189" s="42">
        <f t="shared" si="8"/>
        <v>0.58135803357588367</v>
      </c>
      <c r="I189" s="42">
        <f t="shared" si="8"/>
        <v>3.7113392213762086E-2</v>
      </c>
      <c r="J189" s="42">
        <f t="shared" si="8"/>
        <v>1.0010051773712703</v>
      </c>
      <c r="K189" s="42">
        <f t="shared" si="8"/>
        <v>0.61827658990297429</v>
      </c>
      <c r="L189" s="42">
        <f t="shared" si="8"/>
        <v>0.40641128575969487</v>
      </c>
      <c r="M189" s="42">
        <f t="shared" si="8"/>
        <v>-6.507369629002191E-2</v>
      </c>
      <c r="N189" s="42">
        <f t="shared" si="8"/>
        <v>0.38231605172469463</v>
      </c>
      <c r="O189" s="42">
        <f>(O188/N188)-1</f>
        <v>-0.29334354058004475</v>
      </c>
      <c r="P189" s="42"/>
      <c r="Q189" s="42">
        <f>(Q188/P188)-1</f>
        <v>119.22559185347004</v>
      </c>
      <c r="R189" s="42">
        <f>(R188/Q188)-1</f>
        <v>0.98240517998336974</v>
      </c>
      <c r="S189" s="42">
        <f>(S188/R188)-1</f>
        <v>-0.76077810303607607</v>
      </c>
      <c r="T189" s="11"/>
      <c r="U189" s="11"/>
      <c r="V189" s="11"/>
      <c r="W189" s="11"/>
      <c r="X189" s="11"/>
      <c r="Y189" s="11"/>
      <c r="Z189" s="11"/>
      <c r="AA189" s="12"/>
      <c r="AB189" s="12"/>
      <c r="AC189" s="12"/>
      <c r="AD189" s="12"/>
    </row>
    <row r="190" spans="1:1022 1027:2048 2053:3060 3074:4086 4100:5112 5126:6138 6152:7164 7178:8190 8204:9216 9230:10237 10242:11263 11268:12275 12289:13301 13315:14327 14341:15353 15367:16379" s="45" customFormat="1" ht="16" customHeight="1" x14ac:dyDescent="0.2">
      <c r="A190" s="34" t="s">
        <v>200</v>
      </c>
      <c r="B190" s="43">
        <f t="shared" ref="B190:R190" si="9">B188/B2</f>
        <v>2.8567033176277078E-2</v>
      </c>
      <c r="C190" s="43">
        <f t="shared" si="9"/>
        <v>1.9105223737490976E-2</v>
      </c>
      <c r="D190" s="43">
        <f t="shared" si="9"/>
        <v>-1.7994001373145389E-2</v>
      </c>
      <c r="E190" s="43">
        <f t="shared" si="9"/>
        <v>2.6134185728561358E-2</v>
      </c>
      <c r="F190" s="43">
        <f t="shared" si="9"/>
        <v>1.0072950327791881E-2</v>
      </c>
      <c r="G190" s="43">
        <f t="shared" si="9"/>
        <v>3.1980624348599572E-2</v>
      </c>
      <c r="H190" s="43">
        <f t="shared" si="9"/>
        <v>5.0250346563298819E-2</v>
      </c>
      <c r="I190" s="43">
        <f t="shared" si="9"/>
        <v>4.6426035820127498E-2</v>
      </c>
      <c r="J190" s="43">
        <f t="shared" si="9"/>
        <v>7.714834254314433E-2</v>
      </c>
      <c r="K190" s="43">
        <f t="shared" si="9"/>
        <v>0.12285981858363038</v>
      </c>
      <c r="L190" s="43">
        <f t="shared" si="9"/>
        <v>0.176835959193341</v>
      </c>
      <c r="M190" s="43">
        <f t="shared" si="9"/>
        <v>0.12628884936404272</v>
      </c>
      <c r="N190" s="43">
        <f t="shared" si="9"/>
        <v>0.14658014270431499</v>
      </c>
      <c r="O190" s="44">
        <f t="shared" si="9"/>
        <v>0.10896750065622819</v>
      </c>
      <c r="P190" s="43">
        <f t="shared" si="9"/>
        <v>4.7297607392950011E-4</v>
      </c>
      <c r="Q190" s="43">
        <f t="shared" si="9"/>
        <v>6.1134584378869435E-2</v>
      </c>
      <c r="R190" s="43">
        <f t="shared" si="9"/>
        <v>0.12535530629566144</v>
      </c>
      <c r="S190" s="43">
        <f>S188/S2</f>
        <v>3.0601986712322272E-2</v>
      </c>
      <c r="T190" s="2"/>
      <c r="AH190" s="46"/>
      <c r="AM190" s="2"/>
      <c r="BA190" s="46"/>
      <c r="BF190" s="2"/>
      <c r="BT190" s="46"/>
      <c r="BY190" s="2"/>
      <c r="CM190" s="46"/>
      <c r="CR190" s="2"/>
      <c r="DF190" s="46"/>
      <c r="DK190" s="2"/>
      <c r="DY190" s="46"/>
      <c r="ED190" s="2"/>
      <c r="ER190" s="46"/>
      <c r="EW190" s="2"/>
      <c r="FK190" s="46"/>
      <c r="FP190" s="2"/>
      <c r="GD190" s="46"/>
      <c r="GI190" s="2"/>
      <c r="GW190" s="46"/>
      <c r="HB190" s="2"/>
      <c r="HP190" s="46"/>
      <c r="HU190" s="2"/>
      <c r="II190" s="46"/>
      <c r="IN190" s="2"/>
      <c r="JB190" s="46"/>
      <c r="JG190" s="2"/>
      <c r="JU190" s="46"/>
      <c r="JZ190" s="2"/>
      <c r="KN190" s="46"/>
      <c r="KS190" s="2"/>
      <c r="LG190" s="46"/>
      <c r="LL190" s="2"/>
      <c r="LZ190" s="46"/>
      <c r="ME190" s="2"/>
      <c r="MS190" s="46"/>
      <c r="MX190" s="2"/>
      <c r="NL190" s="46"/>
      <c r="NQ190" s="2"/>
      <c r="OE190" s="46"/>
      <c r="OJ190" s="2"/>
      <c r="OX190" s="46"/>
      <c r="PC190" s="2"/>
      <c r="PQ190" s="46"/>
      <c r="PV190" s="2"/>
      <c r="QJ190" s="46"/>
      <c r="QO190" s="2"/>
      <c r="RC190" s="46"/>
      <c r="RH190" s="2"/>
      <c r="RV190" s="46"/>
      <c r="SA190" s="2"/>
      <c r="SO190" s="46"/>
      <c r="ST190" s="2"/>
      <c r="TH190" s="46"/>
      <c r="TM190" s="2"/>
      <c r="UA190" s="46"/>
      <c r="UF190" s="2"/>
      <c r="UT190" s="46"/>
      <c r="UY190" s="2"/>
      <c r="VM190" s="46"/>
      <c r="VR190" s="2"/>
      <c r="WF190" s="46"/>
      <c r="WK190" s="2"/>
      <c r="WY190" s="46"/>
      <c r="XD190" s="2"/>
      <c r="XR190" s="46"/>
      <c r="XW190" s="2"/>
      <c r="YK190" s="46"/>
      <c r="YP190" s="2"/>
      <c r="ZD190" s="46"/>
      <c r="ZI190" s="2"/>
      <c r="ZW190" s="46"/>
      <c r="AAB190" s="2"/>
      <c r="AAP190" s="46"/>
      <c r="AAU190" s="2"/>
      <c r="ABI190" s="46"/>
      <c r="ABN190" s="2"/>
      <c r="ACB190" s="46"/>
      <c r="ACG190" s="2"/>
      <c r="ACU190" s="46"/>
      <c r="ACZ190" s="2"/>
      <c r="ADN190" s="46"/>
      <c r="ADS190" s="2"/>
      <c r="AEG190" s="46"/>
      <c r="AEL190" s="2"/>
      <c r="AEZ190" s="46"/>
      <c r="AFE190" s="2"/>
      <c r="AFS190" s="46"/>
      <c r="AFX190" s="2"/>
      <c r="AGL190" s="46"/>
      <c r="AGQ190" s="2"/>
      <c r="AHE190" s="46"/>
      <c r="AHJ190" s="2"/>
      <c r="AHX190" s="46"/>
      <c r="AIC190" s="2"/>
      <c r="AIQ190" s="46"/>
      <c r="AIV190" s="2"/>
      <c r="AJJ190" s="46"/>
      <c r="AJO190" s="2"/>
      <c r="AKC190" s="46"/>
      <c r="AKH190" s="2"/>
      <c r="AKV190" s="46"/>
      <c r="ALA190" s="2"/>
      <c r="ALO190" s="46"/>
      <c r="ALT190" s="2"/>
      <c r="AMH190" s="46"/>
      <c r="AMM190" s="2"/>
      <c r="ANA190" s="46"/>
      <c r="ANF190" s="2"/>
      <c r="ANT190" s="46"/>
      <c r="ANY190" s="2"/>
      <c r="AOM190" s="46"/>
      <c r="AOR190" s="2"/>
      <c r="APF190" s="46"/>
      <c r="APK190" s="2"/>
      <c r="APY190" s="46"/>
      <c r="AQD190" s="2"/>
      <c r="AQR190" s="46"/>
      <c r="AQW190" s="2"/>
      <c r="ARK190" s="46"/>
      <c r="ARP190" s="2"/>
      <c r="ASD190" s="46"/>
      <c r="ASI190" s="2"/>
      <c r="ASW190" s="46"/>
      <c r="ATB190" s="2"/>
      <c r="ATP190" s="46"/>
      <c r="ATU190" s="2"/>
      <c r="AUI190" s="46"/>
      <c r="AUN190" s="2"/>
      <c r="AVB190" s="46"/>
      <c r="AVG190" s="2"/>
      <c r="AVU190" s="46"/>
      <c r="AVZ190" s="2"/>
      <c r="AWN190" s="46"/>
      <c r="AWS190" s="2"/>
      <c r="AXG190" s="46"/>
      <c r="AXL190" s="2"/>
      <c r="AXZ190" s="46"/>
      <c r="AYE190" s="2"/>
      <c r="AYS190" s="46"/>
      <c r="AYX190" s="2"/>
      <c r="AZL190" s="46"/>
      <c r="AZQ190" s="2"/>
      <c r="BAE190" s="46"/>
      <c r="BAJ190" s="2"/>
      <c r="BAX190" s="46"/>
      <c r="BBC190" s="2"/>
      <c r="BBQ190" s="46"/>
      <c r="BBV190" s="2"/>
      <c r="BCJ190" s="46"/>
      <c r="BCO190" s="2"/>
      <c r="BDC190" s="46"/>
      <c r="BDH190" s="2"/>
      <c r="BDV190" s="46"/>
      <c r="BEA190" s="2"/>
      <c r="BEO190" s="46"/>
      <c r="BET190" s="2"/>
      <c r="BFH190" s="46"/>
      <c r="BFM190" s="2"/>
      <c r="BGA190" s="46"/>
      <c r="BGF190" s="2"/>
      <c r="BGT190" s="46"/>
      <c r="BGY190" s="2"/>
      <c r="BHM190" s="46"/>
      <c r="BHR190" s="2"/>
      <c r="BIF190" s="46"/>
      <c r="BIK190" s="2"/>
      <c r="BIY190" s="46"/>
      <c r="BJD190" s="2"/>
      <c r="BJR190" s="46"/>
      <c r="BJW190" s="2"/>
      <c r="BKK190" s="46"/>
      <c r="BKP190" s="2"/>
      <c r="BLD190" s="46"/>
      <c r="BLI190" s="2"/>
      <c r="BLW190" s="46"/>
      <c r="BMB190" s="2"/>
      <c r="BMP190" s="46"/>
      <c r="BMU190" s="2"/>
      <c r="BNI190" s="46"/>
      <c r="BNN190" s="2"/>
      <c r="BOB190" s="46"/>
      <c r="BOG190" s="2"/>
      <c r="BOU190" s="46"/>
      <c r="BOZ190" s="2"/>
      <c r="BPN190" s="46"/>
      <c r="BPS190" s="2"/>
      <c r="BQG190" s="46"/>
      <c r="BQL190" s="2"/>
      <c r="BQZ190" s="46"/>
      <c r="BRE190" s="2"/>
      <c r="BRS190" s="46"/>
      <c r="BRX190" s="2"/>
      <c r="BSL190" s="46"/>
      <c r="BSQ190" s="2"/>
      <c r="BTE190" s="46"/>
      <c r="BTJ190" s="2"/>
      <c r="BTX190" s="46"/>
      <c r="BUC190" s="2"/>
      <c r="BUQ190" s="46"/>
      <c r="BUV190" s="2"/>
      <c r="BVJ190" s="46"/>
      <c r="BVO190" s="2"/>
      <c r="BWC190" s="46"/>
      <c r="BWH190" s="2"/>
      <c r="BWV190" s="46"/>
      <c r="BXA190" s="2"/>
      <c r="BXO190" s="46"/>
      <c r="BXT190" s="2"/>
      <c r="BYH190" s="46"/>
      <c r="BYM190" s="2"/>
      <c r="BZA190" s="46"/>
      <c r="BZF190" s="2"/>
      <c r="BZT190" s="46"/>
      <c r="BZY190" s="2"/>
      <c r="CAM190" s="46"/>
      <c r="CAR190" s="2"/>
      <c r="CBF190" s="46"/>
      <c r="CBK190" s="2"/>
      <c r="CBY190" s="46"/>
      <c r="CCD190" s="2"/>
      <c r="CCR190" s="46"/>
      <c r="CCW190" s="2"/>
      <c r="CDK190" s="46"/>
      <c r="CDP190" s="2"/>
      <c r="CED190" s="46"/>
      <c r="CEI190" s="2"/>
      <c r="CEW190" s="46"/>
      <c r="CFB190" s="2"/>
      <c r="CFP190" s="46"/>
      <c r="CFU190" s="2"/>
      <c r="CGI190" s="46"/>
      <c r="CGN190" s="2"/>
      <c r="CHB190" s="46"/>
      <c r="CHG190" s="2"/>
      <c r="CHU190" s="46"/>
      <c r="CHZ190" s="2"/>
      <c r="CIN190" s="46"/>
      <c r="CIS190" s="2"/>
      <c r="CJG190" s="46"/>
      <c r="CJL190" s="2"/>
      <c r="CJZ190" s="46"/>
      <c r="CKE190" s="2"/>
      <c r="CKS190" s="46"/>
      <c r="CKX190" s="2"/>
      <c r="CLL190" s="46"/>
      <c r="CLQ190" s="2"/>
      <c r="CME190" s="46"/>
      <c r="CMJ190" s="2"/>
      <c r="CMX190" s="46"/>
      <c r="CNC190" s="2"/>
      <c r="CNQ190" s="46"/>
      <c r="CNV190" s="2"/>
      <c r="COJ190" s="46"/>
      <c r="COO190" s="2"/>
      <c r="CPC190" s="46"/>
      <c r="CPH190" s="2"/>
      <c r="CPV190" s="46"/>
      <c r="CQA190" s="2"/>
      <c r="CQO190" s="46"/>
      <c r="CQT190" s="2"/>
      <c r="CRH190" s="46"/>
      <c r="CRM190" s="2"/>
      <c r="CSA190" s="46"/>
      <c r="CSF190" s="2"/>
      <c r="CST190" s="46"/>
      <c r="CSY190" s="2"/>
      <c r="CTM190" s="46"/>
      <c r="CTR190" s="2"/>
      <c r="CUF190" s="46"/>
      <c r="CUK190" s="2"/>
      <c r="CUY190" s="46"/>
      <c r="CVD190" s="2"/>
      <c r="CVR190" s="46"/>
      <c r="CVW190" s="2"/>
      <c r="CWK190" s="46"/>
      <c r="CWP190" s="2"/>
      <c r="CXD190" s="46"/>
      <c r="CXI190" s="2"/>
      <c r="CXW190" s="46"/>
      <c r="CYB190" s="2"/>
      <c r="CYP190" s="46"/>
      <c r="CYU190" s="2"/>
      <c r="CZI190" s="46"/>
      <c r="CZN190" s="2"/>
      <c r="DAB190" s="46"/>
      <c r="DAG190" s="2"/>
      <c r="DAU190" s="46"/>
      <c r="DAZ190" s="2"/>
      <c r="DBN190" s="46"/>
      <c r="DBS190" s="2"/>
      <c r="DCG190" s="46"/>
      <c r="DCL190" s="2"/>
      <c r="DCZ190" s="46"/>
      <c r="DDE190" s="2"/>
      <c r="DDS190" s="46"/>
      <c r="DDX190" s="2"/>
      <c r="DEL190" s="46"/>
      <c r="DEQ190" s="2"/>
      <c r="DFE190" s="46"/>
      <c r="DFJ190" s="2"/>
      <c r="DFX190" s="46"/>
      <c r="DGC190" s="2"/>
      <c r="DGQ190" s="46"/>
      <c r="DGV190" s="2"/>
      <c r="DHJ190" s="46"/>
      <c r="DHO190" s="2"/>
      <c r="DIC190" s="46"/>
      <c r="DIH190" s="2"/>
      <c r="DIV190" s="46"/>
      <c r="DJA190" s="2"/>
      <c r="DJO190" s="46"/>
      <c r="DJT190" s="2"/>
      <c r="DKH190" s="46"/>
      <c r="DKM190" s="2"/>
      <c r="DLA190" s="46"/>
      <c r="DLF190" s="2"/>
      <c r="DLT190" s="46"/>
      <c r="DLY190" s="2"/>
      <c r="DMM190" s="46"/>
      <c r="DMR190" s="2"/>
      <c r="DNF190" s="46"/>
      <c r="DNK190" s="2"/>
      <c r="DNY190" s="46"/>
      <c r="DOD190" s="2"/>
      <c r="DOR190" s="46"/>
      <c r="DOW190" s="2"/>
      <c r="DPK190" s="46"/>
      <c r="DPP190" s="2"/>
      <c r="DQD190" s="46"/>
      <c r="DQI190" s="2"/>
      <c r="DQW190" s="46"/>
      <c r="DRB190" s="2"/>
      <c r="DRP190" s="46"/>
      <c r="DRU190" s="2"/>
      <c r="DSI190" s="46"/>
      <c r="DSN190" s="2"/>
      <c r="DTB190" s="46"/>
      <c r="DTG190" s="2"/>
      <c r="DTU190" s="46"/>
      <c r="DTZ190" s="2"/>
      <c r="DUN190" s="46"/>
      <c r="DUS190" s="2"/>
      <c r="DVG190" s="46"/>
      <c r="DVL190" s="2"/>
      <c r="DVZ190" s="46"/>
      <c r="DWE190" s="2"/>
      <c r="DWS190" s="46"/>
      <c r="DWX190" s="2"/>
      <c r="DXL190" s="46"/>
      <c r="DXQ190" s="2"/>
      <c r="DYE190" s="46"/>
      <c r="DYJ190" s="2"/>
      <c r="DYX190" s="46"/>
      <c r="DZC190" s="2"/>
      <c r="DZQ190" s="46"/>
      <c r="DZV190" s="2"/>
      <c r="EAJ190" s="46"/>
      <c r="EAO190" s="2"/>
      <c r="EBC190" s="46"/>
      <c r="EBH190" s="2"/>
      <c r="EBV190" s="46"/>
      <c r="ECA190" s="2"/>
      <c r="ECO190" s="46"/>
      <c r="ECT190" s="2"/>
      <c r="EDH190" s="46"/>
      <c r="EDM190" s="2"/>
      <c r="EEA190" s="46"/>
      <c r="EEF190" s="2"/>
      <c r="EET190" s="46"/>
      <c r="EEY190" s="2"/>
      <c r="EFM190" s="46"/>
      <c r="EFR190" s="2"/>
      <c r="EGF190" s="46"/>
      <c r="EGK190" s="2"/>
      <c r="EGY190" s="46"/>
      <c r="EHD190" s="2"/>
      <c r="EHR190" s="46"/>
      <c r="EHW190" s="2"/>
      <c r="EIK190" s="46"/>
      <c r="EIP190" s="2"/>
      <c r="EJD190" s="46"/>
      <c r="EJI190" s="2"/>
      <c r="EJW190" s="46"/>
      <c r="EKB190" s="2"/>
      <c r="EKP190" s="46"/>
      <c r="EKU190" s="2"/>
      <c r="ELI190" s="46"/>
      <c r="ELN190" s="2"/>
      <c r="EMB190" s="46"/>
      <c r="EMG190" s="2"/>
      <c r="EMU190" s="46"/>
      <c r="EMZ190" s="2"/>
      <c r="ENN190" s="46"/>
      <c r="ENS190" s="2"/>
      <c r="EOG190" s="46"/>
      <c r="EOL190" s="2"/>
      <c r="EOZ190" s="46"/>
      <c r="EPE190" s="2"/>
      <c r="EPS190" s="46"/>
      <c r="EPX190" s="2"/>
      <c r="EQL190" s="46"/>
      <c r="EQQ190" s="2"/>
      <c r="ERE190" s="46"/>
      <c r="ERJ190" s="2"/>
      <c r="ERX190" s="46"/>
      <c r="ESC190" s="2"/>
      <c r="ESQ190" s="46"/>
      <c r="ESV190" s="2"/>
      <c r="ETJ190" s="46"/>
      <c r="ETO190" s="2"/>
      <c r="EUC190" s="46"/>
      <c r="EUH190" s="2"/>
      <c r="EUV190" s="46"/>
      <c r="EVA190" s="2"/>
      <c r="EVO190" s="46"/>
      <c r="EVT190" s="2"/>
      <c r="EWH190" s="46"/>
      <c r="EWM190" s="2"/>
      <c r="EXA190" s="46"/>
      <c r="EXF190" s="2"/>
      <c r="EXT190" s="46"/>
      <c r="EXY190" s="2"/>
      <c r="EYM190" s="46"/>
      <c r="EYR190" s="2"/>
      <c r="EZF190" s="46"/>
      <c r="EZK190" s="2"/>
      <c r="EZY190" s="46"/>
      <c r="FAD190" s="2"/>
      <c r="FAR190" s="46"/>
      <c r="FAW190" s="2"/>
      <c r="FBK190" s="46"/>
      <c r="FBP190" s="2"/>
      <c r="FCD190" s="46"/>
      <c r="FCI190" s="2"/>
      <c r="FCW190" s="46"/>
      <c r="FDB190" s="2"/>
      <c r="FDP190" s="46"/>
      <c r="FDU190" s="2"/>
      <c r="FEI190" s="46"/>
      <c r="FEN190" s="2"/>
      <c r="FFB190" s="46"/>
      <c r="FFG190" s="2"/>
      <c r="FFU190" s="46"/>
      <c r="FFZ190" s="2"/>
      <c r="FGN190" s="46"/>
      <c r="FGS190" s="2"/>
      <c r="FHG190" s="46"/>
      <c r="FHL190" s="2"/>
      <c r="FHZ190" s="46"/>
      <c r="FIE190" s="2"/>
      <c r="FIS190" s="46"/>
      <c r="FIX190" s="2"/>
      <c r="FJL190" s="46"/>
      <c r="FJQ190" s="2"/>
      <c r="FKE190" s="46"/>
      <c r="FKJ190" s="2"/>
      <c r="FKX190" s="46"/>
      <c r="FLC190" s="2"/>
      <c r="FLQ190" s="46"/>
      <c r="FLV190" s="2"/>
      <c r="FMJ190" s="46"/>
      <c r="FMO190" s="2"/>
      <c r="FNC190" s="46"/>
      <c r="FNH190" s="2"/>
      <c r="FNV190" s="46"/>
      <c r="FOA190" s="2"/>
      <c r="FOO190" s="46"/>
      <c r="FOT190" s="2"/>
      <c r="FPH190" s="46"/>
      <c r="FPM190" s="2"/>
      <c r="FQA190" s="46"/>
      <c r="FQF190" s="2"/>
      <c r="FQT190" s="46"/>
      <c r="FQY190" s="2"/>
      <c r="FRM190" s="46"/>
      <c r="FRR190" s="2"/>
      <c r="FSF190" s="46"/>
      <c r="FSK190" s="2"/>
      <c r="FSY190" s="46"/>
      <c r="FTD190" s="2"/>
      <c r="FTR190" s="46"/>
      <c r="FTW190" s="2"/>
      <c r="FUK190" s="46"/>
      <c r="FUP190" s="2"/>
      <c r="FVD190" s="46"/>
      <c r="FVI190" s="2"/>
      <c r="FVW190" s="46"/>
      <c r="FWB190" s="2"/>
      <c r="FWP190" s="46"/>
      <c r="FWU190" s="2"/>
      <c r="FXI190" s="46"/>
      <c r="FXN190" s="2"/>
      <c r="FYB190" s="46"/>
      <c r="FYG190" s="2"/>
      <c r="FYU190" s="46"/>
      <c r="FYZ190" s="2"/>
      <c r="FZN190" s="46"/>
      <c r="FZS190" s="2"/>
      <c r="GAG190" s="46"/>
      <c r="GAL190" s="2"/>
      <c r="GAZ190" s="46"/>
      <c r="GBE190" s="2"/>
      <c r="GBS190" s="46"/>
      <c r="GBX190" s="2"/>
      <c r="GCL190" s="46"/>
      <c r="GCQ190" s="2"/>
      <c r="GDE190" s="46"/>
      <c r="GDJ190" s="2"/>
      <c r="GDX190" s="46"/>
      <c r="GEC190" s="2"/>
      <c r="GEQ190" s="46"/>
      <c r="GEV190" s="2"/>
      <c r="GFJ190" s="46"/>
      <c r="GFO190" s="2"/>
      <c r="GGC190" s="46"/>
      <c r="GGH190" s="2"/>
      <c r="GGV190" s="46"/>
      <c r="GHA190" s="2"/>
      <c r="GHO190" s="46"/>
      <c r="GHT190" s="2"/>
      <c r="GIH190" s="46"/>
      <c r="GIM190" s="2"/>
      <c r="GJA190" s="46"/>
      <c r="GJF190" s="2"/>
      <c r="GJT190" s="46"/>
      <c r="GJY190" s="2"/>
      <c r="GKM190" s="46"/>
      <c r="GKR190" s="2"/>
      <c r="GLF190" s="46"/>
      <c r="GLK190" s="2"/>
      <c r="GLY190" s="46"/>
      <c r="GMD190" s="2"/>
      <c r="GMR190" s="46"/>
      <c r="GMW190" s="2"/>
      <c r="GNK190" s="46"/>
      <c r="GNP190" s="2"/>
      <c r="GOD190" s="46"/>
      <c r="GOI190" s="2"/>
      <c r="GOW190" s="46"/>
      <c r="GPB190" s="2"/>
      <c r="GPP190" s="46"/>
      <c r="GPU190" s="2"/>
      <c r="GQI190" s="46"/>
      <c r="GQN190" s="2"/>
      <c r="GRB190" s="46"/>
      <c r="GRG190" s="2"/>
      <c r="GRU190" s="46"/>
      <c r="GRZ190" s="2"/>
      <c r="GSN190" s="46"/>
      <c r="GSS190" s="2"/>
      <c r="GTG190" s="46"/>
      <c r="GTL190" s="2"/>
      <c r="GTZ190" s="46"/>
      <c r="GUE190" s="2"/>
      <c r="GUS190" s="46"/>
      <c r="GUX190" s="2"/>
      <c r="GVL190" s="46"/>
      <c r="GVQ190" s="2"/>
      <c r="GWE190" s="46"/>
      <c r="GWJ190" s="2"/>
      <c r="GWX190" s="46"/>
      <c r="GXC190" s="2"/>
      <c r="GXQ190" s="46"/>
      <c r="GXV190" s="2"/>
      <c r="GYJ190" s="46"/>
      <c r="GYO190" s="2"/>
      <c r="GZC190" s="46"/>
      <c r="GZH190" s="2"/>
      <c r="GZV190" s="46"/>
      <c r="HAA190" s="2"/>
      <c r="HAO190" s="46"/>
      <c r="HAT190" s="2"/>
      <c r="HBH190" s="46"/>
      <c r="HBM190" s="2"/>
      <c r="HCA190" s="46"/>
      <c r="HCF190" s="2"/>
      <c r="HCT190" s="46"/>
      <c r="HCY190" s="2"/>
      <c r="HDM190" s="46"/>
      <c r="HDR190" s="2"/>
      <c r="HEF190" s="46"/>
      <c r="HEK190" s="2"/>
      <c r="HEY190" s="46"/>
      <c r="HFD190" s="2"/>
      <c r="HFR190" s="46"/>
      <c r="HFW190" s="2"/>
      <c r="HGK190" s="46"/>
      <c r="HGP190" s="2"/>
      <c r="HHD190" s="46"/>
      <c r="HHI190" s="2"/>
      <c r="HHW190" s="46"/>
      <c r="HIB190" s="2"/>
      <c r="HIP190" s="46"/>
      <c r="HIU190" s="2"/>
      <c r="HJI190" s="46"/>
      <c r="HJN190" s="2"/>
      <c r="HKB190" s="46"/>
      <c r="HKG190" s="2"/>
      <c r="HKU190" s="46"/>
      <c r="HKZ190" s="2"/>
      <c r="HLN190" s="46"/>
      <c r="HLS190" s="2"/>
      <c r="HMG190" s="46"/>
      <c r="HML190" s="2"/>
      <c r="HMZ190" s="46"/>
      <c r="HNE190" s="2"/>
      <c r="HNS190" s="46"/>
      <c r="HNX190" s="2"/>
      <c r="HOL190" s="46"/>
      <c r="HOQ190" s="2"/>
      <c r="HPE190" s="46"/>
      <c r="HPJ190" s="2"/>
      <c r="HPX190" s="46"/>
      <c r="HQC190" s="2"/>
      <c r="HQQ190" s="46"/>
      <c r="HQV190" s="2"/>
      <c r="HRJ190" s="46"/>
      <c r="HRO190" s="2"/>
      <c r="HSC190" s="46"/>
      <c r="HSH190" s="2"/>
      <c r="HSV190" s="46"/>
      <c r="HTA190" s="2"/>
      <c r="HTO190" s="46"/>
      <c r="HTT190" s="2"/>
      <c r="HUH190" s="46"/>
      <c r="HUM190" s="2"/>
      <c r="HVA190" s="46"/>
      <c r="HVF190" s="2"/>
      <c r="HVT190" s="46"/>
      <c r="HVY190" s="2"/>
      <c r="HWM190" s="46"/>
      <c r="HWR190" s="2"/>
      <c r="HXF190" s="46"/>
      <c r="HXK190" s="2"/>
      <c r="HXY190" s="46"/>
      <c r="HYD190" s="2"/>
      <c r="HYR190" s="46"/>
      <c r="HYW190" s="2"/>
      <c r="HZK190" s="46"/>
      <c r="HZP190" s="2"/>
      <c r="IAD190" s="46"/>
      <c r="IAI190" s="2"/>
      <c r="IAW190" s="46"/>
      <c r="IBB190" s="2"/>
      <c r="IBP190" s="46"/>
      <c r="IBU190" s="2"/>
      <c r="ICI190" s="46"/>
      <c r="ICN190" s="2"/>
      <c r="IDB190" s="46"/>
      <c r="IDG190" s="2"/>
      <c r="IDU190" s="46"/>
      <c r="IDZ190" s="2"/>
      <c r="IEN190" s="46"/>
      <c r="IES190" s="2"/>
      <c r="IFG190" s="46"/>
      <c r="IFL190" s="2"/>
      <c r="IFZ190" s="46"/>
      <c r="IGE190" s="2"/>
      <c r="IGS190" s="46"/>
      <c r="IGX190" s="2"/>
      <c r="IHL190" s="46"/>
      <c r="IHQ190" s="2"/>
      <c r="IIE190" s="46"/>
      <c r="IIJ190" s="2"/>
      <c r="IIX190" s="46"/>
      <c r="IJC190" s="2"/>
      <c r="IJQ190" s="46"/>
      <c r="IJV190" s="2"/>
      <c r="IKJ190" s="46"/>
      <c r="IKO190" s="2"/>
      <c r="ILC190" s="46"/>
      <c r="ILH190" s="2"/>
      <c r="ILV190" s="46"/>
      <c r="IMA190" s="2"/>
      <c r="IMO190" s="46"/>
      <c r="IMT190" s="2"/>
      <c r="INH190" s="46"/>
      <c r="INM190" s="2"/>
      <c r="IOA190" s="46"/>
      <c r="IOF190" s="2"/>
      <c r="IOT190" s="46"/>
      <c r="IOY190" s="2"/>
      <c r="IPM190" s="46"/>
      <c r="IPR190" s="2"/>
      <c r="IQF190" s="46"/>
      <c r="IQK190" s="2"/>
      <c r="IQY190" s="46"/>
      <c r="IRD190" s="2"/>
      <c r="IRR190" s="46"/>
      <c r="IRW190" s="2"/>
      <c r="ISK190" s="46"/>
      <c r="ISP190" s="2"/>
      <c r="ITD190" s="46"/>
      <c r="ITI190" s="2"/>
      <c r="ITW190" s="46"/>
      <c r="IUB190" s="2"/>
      <c r="IUP190" s="46"/>
      <c r="IUU190" s="2"/>
      <c r="IVI190" s="46"/>
      <c r="IVN190" s="2"/>
      <c r="IWB190" s="46"/>
      <c r="IWG190" s="2"/>
      <c r="IWU190" s="46"/>
      <c r="IWZ190" s="2"/>
      <c r="IXN190" s="46"/>
      <c r="IXS190" s="2"/>
      <c r="IYG190" s="46"/>
      <c r="IYL190" s="2"/>
      <c r="IYZ190" s="46"/>
      <c r="IZE190" s="2"/>
      <c r="IZS190" s="46"/>
      <c r="IZX190" s="2"/>
      <c r="JAL190" s="46"/>
      <c r="JAQ190" s="2"/>
      <c r="JBE190" s="46"/>
      <c r="JBJ190" s="2"/>
      <c r="JBX190" s="46"/>
      <c r="JCC190" s="2"/>
      <c r="JCQ190" s="46"/>
      <c r="JCV190" s="2"/>
      <c r="JDJ190" s="46"/>
      <c r="JDO190" s="2"/>
      <c r="JEC190" s="46"/>
      <c r="JEH190" s="2"/>
      <c r="JEV190" s="46"/>
      <c r="JFA190" s="2"/>
      <c r="JFO190" s="46"/>
      <c r="JFT190" s="2"/>
      <c r="JGH190" s="46"/>
      <c r="JGM190" s="2"/>
      <c r="JHA190" s="46"/>
      <c r="JHF190" s="2"/>
      <c r="JHT190" s="46"/>
      <c r="JHY190" s="2"/>
      <c r="JIM190" s="46"/>
      <c r="JIR190" s="2"/>
      <c r="JJF190" s="46"/>
      <c r="JJK190" s="2"/>
      <c r="JJY190" s="46"/>
      <c r="JKD190" s="2"/>
      <c r="JKR190" s="46"/>
      <c r="JKW190" s="2"/>
      <c r="JLK190" s="46"/>
      <c r="JLP190" s="2"/>
      <c r="JMD190" s="46"/>
      <c r="JMI190" s="2"/>
      <c r="JMW190" s="46"/>
      <c r="JNB190" s="2"/>
      <c r="JNP190" s="46"/>
      <c r="JNU190" s="2"/>
      <c r="JOI190" s="46"/>
      <c r="JON190" s="2"/>
      <c r="JPB190" s="46"/>
      <c r="JPG190" s="2"/>
      <c r="JPU190" s="46"/>
      <c r="JPZ190" s="2"/>
      <c r="JQN190" s="46"/>
      <c r="JQS190" s="2"/>
      <c r="JRG190" s="46"/>
      <c r="JRL190" s="2"/>
      <c r="JRZ190" s="46"/>
      <c r="JSE190" s="2"/>
      <c r="JSS190" s="46"/>
      <c r="JSX190" s="2"/>
      <c r="JTL190" s="46"/>
      <c r="JTQ190" s="2"/>
      <c r="JUE190" s="46"/>
      <c r="JUJ190" s="2"/>
      <c r="JUX190" s="46"/>
      <c r="JVC190" s="2"/>
      <c r="JVQ190" s="46"/>
      <c r="JVV190" s="2"/>
      <c r="JWJ190" s="46"/>
      <c r="JWO190" s="2"/>
      <c r="JXC190" s="46"/>
      <c r="JXH190" s="2"/>
      <c r="JXV190" s="46"/>
      <c r="JYA190" s="2"/>
      <c r="JYO190" s="46"/>
      <c r="JYT190" s="2"/>
      <c r="JZH190" s="46"/>
      <c r="JZM190" s="2"/>
      <c r="KAA190" s="46"/>
      <c r="KAF190" s="2"/>
      <c r="KAT190" s="46"/>
      <c r="KAY190" s="2"/>
      <c r="KBM190" s="46"/>
      <c r="KBR190" s="2"/>
      <c r="KCF190" s="46"/>
      <c r="KCK190" s="2"/>
      <c r="KCY190" s="46"/>
      <c r="KDD190" s="2"/>
      <c r="KDR190" s="46"/>
      <c r="KDW190" s="2"/>
      <c r="KEK190" s="46"/>
      <c r="KEP190" s="2"/>
      <c r="KFD190" s="46"/>
      <c r="KFI190" s="2"/>
      <c r="KFW190" s="46"/>
      <c r="KGB190" s="2"/>
      <c r="KGP190" s="46"/>
      <c r="KGU190" s="2"/>
      <c r="KHI190" s="46"/>
      <c r="KHN190" s="2"/>
      <c r="KIB190" s="46"/>
      <c r="KIG190" s="2"/>
      <c r="KIU190" s="46"/>
      <c r="KIZ190" s="2"/>
      <c r="KJN190" s="46"/>
      <c r="KJS190" s="2"/>
      <c r="KKG190" s="46"/>
      <c r="KKL190" s="2"/>
      <c r="KKZ190" s="46"/>
      <c r="KLE190" s="2"/>
      <c r="KLS190" s="46"/>
      <c r="KLX190" s="2"/>
      <c r="KML190" s="46"/>
      <c r="KMQ190" s="2"/>
      <c r="KNE190" s="46"/>
      <c r="KNJ190" s="2"/>
      <c r="KNX190" s="46"/>
      <c r="KOC190" s="2"/>
      <c r="KOQ190" s="46"/>
      <c r="KOV190" s="2"/>
      <c r="KPJ190" s="46"/>
      <c r="KPO190" s="2"/>
      <c r="KQC190" s="46"/>
      <c r="KQH190" s="2"/>
      <c r="KQV190" s="46"/>
      <c r="KRA190" s="2"/>
      <c r="KRO190" s="46"/>
      <c r="KRT190" s="2"/>
      <c r="KSH190" s="46"/>
      <c r="KSM190" s="2"/>
      <c r="KTA190" s="46"/>
      <c r="KTF190" s="2"/>
      <c r="KTT190" s="46"/>
      <c r="KTY190" s="2"/>
      <c r="KUM190" s="46"/>
      <c r="KUR190" s="2"/>
      <c r="KVF190" s="46"/>
      <c r="KVK190" s="2"/>
      <c r="KVY190" s="46"/>
      <c r="KWD190" s="2"/>
      <c r="KWR190" s="46"/>
      <c r="KWW190" s="2"/>
      <c r="KXK190" s="46"/>
      <c r="KXP190" s="2"/>
      <c r="KYD190" s="46"/>
      <c r="KYI190" s="2"/>
      <c r="KYW190" s="46"/>
      <c r="KZB190" s="2"/>
      <c r="KZP190" s="46"/>
      <c r="KZU190" s="2"/>
      <c r="LAI190" s="46"/>
      <c r="LAN190" s="2"/>
      <c r="LBB190" s="46"/>
      <c r="LBG190" s="2"/>
      <c r="LBU190" s="46"/>
      <c r="LBZ190" s="2"/>
      <c r="LCN190" s="46"/>
      <c r="LCS190" s="2"/>
      <c r="LDG190" s="46"/>
      <c r="LDL190" s="2"/>
      <c r="LDZ190" s="46"/>
      <c r="LEE190" s="2"/>
      <c r="LES190" s="46"/>
      <c r="LEX190" s="2"/>
      <c r="LFL190" s="46"/>
      <c r="LFQ190" s="2"/>
      <c r="LGE190" s="46"/>
      <c r="LGJ190" s="2"/>
      <c r="LGX190" s="46"/>
      <c r="LHC190" s="2"/>
      <c r="LHQ190" s="46"/>
      <c r="LHV190" s="2"/>
      <c r="LIJ190" s="46"/>
      <c r="LIO190" s="2"/>
      <c r="LJC190" s="46"/>
      <c r="LJH190" s="2"/>
      <c r="LJV190" s="46"/>
      <c r="LKA190" s="2"/>
      <c r="LKO190" s="46"/>
      <c r="LKT190" s="2"/>
      <c r="LLH190" s="46"/>
      <c r="LLM190" s="2"/>
      <c r="LMA190" s="46"/>
      <c r="LMF190" s="2"/>
      <c r="LMT190" s="46"/>
      <c r="LMY190" s="2"/>
      <c r="LNM190" s="46"/>
      <c r="LNR190" s="2"/>
      <c r="LOF190" s="46"/>
      <c r="LOK190" s="2"/>
      <c r="LOY190" s="46"/>
      <c r="LPD190" s="2"/>
      <c r="LPR190" s="46"/>
      <c r="LPW190" s="2"/>
      <c r="LQK190" s="46"/>
      <c r="LQP190" s="2"/>
      <c r="LRD190" s="46"/>
      <c r="LRI190" s="2"/>
      <c r="LRW190" s="46"/>
      <c r="LSB190" s="2"/>
      <c r="LSP190" s="46"/>
      <c r="LSU190" s="2"/>
      <c r="LTI190" s="46"/>
      <c r="LTN190" s="2"/>
      <c r="LUB190" s="46"/>
      <c r="LUG190" s="2"/>
      <c r="LUU190" s="46"/>
      <c r="LUZ190" s="2"/>
      <c r="LVN190" s="46"/>
      <c r="LVS190" s="2"/>
      <c r="LWG190" s="46"/>
      <c r="LWL190" s="2"/>
      <c r="LWZ190" s="46"/>
      <c r="LXE190" s="2"/>
      <c r="LXS190" s="46"/>
      <c r="LXX190" s="2"/>
      <c r="LYL190" s="46"/>
      <c r="LYQ190" s="2"/>
      <c r="LZE190" s="46"/>
      <c r="LZJ190" s="2"/>
      <c r="LZX190" s="46"/>
      <c r="MAC190" s="2"/>
      <c r="MAQ190" s="46"/>
      <c r="MAV190" s="2"/>
      <c r="MBJ190" s="46"/>
      <c r="MBO190" s="2"/>
      <c r="MCC190" s="46"/>
      <c r="MCH190" s="2"/>
      <c r="MCV190" s="46"/>
      <c r="MDA190" s="2"/>
      <c r="MDO190" s="46"/>
      <c r="MDT190" s="2"/>
      <c r="MEH190" s="46"/>
      <c r="MEM190" s="2"/>
      <c r="MFA190" s="46"/>
      <c r="MFF190" s="2"/>
      <c r="MFT190" s="46"/>
      <c r="MFY190" s="2"/>
      <c r="MGM190" s="46"/>
      <c r="MGR190" s="2"/>
      <c r="MHF190" s="46"/>
      <c r="MHK190" s="2"/>
      <c r="MHY190" s="46"/>
      <c r="MID190" s="2"/>
      <c r="MIR190" s="46"/>
      <c r="MIW190" s="2"/>
      <c r="MJK190" s="46"/>
      <c r="MJP190" s="2"/>
      <c r="MKD190" s="46"/>
      <c r="MKI190" s="2"/>
      <c r="MKW190" s="46"/>
      <c r="MLB190" s="2"/>
      <c r="MLP190" s="46"/>
      <c r="MLU190" s="2"/>
      <c r="MMI190" s="46"/>
      <c r="MMN190" s="2"/>
      <c r="MNB190" s="46"/>
      <c r="MNG190" s="2"/>
      <c r="MNU190" s="46"/>
      <c r="MNZ190" s="2"/>
      <c r="MON190" s="46"/>
      <c r="MOS190" s="2"/>
      <c r="MPG190" s="46"/>
      <c r="MPL190" s="2"/>
      <c r="MPZ190" s="46"/>
      <c r="MQE190" s="2"/>
      <c r="MQS190" s="46"/>
      <c r="MQX190" s="2"/>
      <c r="MRL190" s="46"/>
      <c r="MRQ190" s="2"/>
      <c r="MSE190" s="46"/>
      <c r="MSJ190" s="2"/>
      <c r="MSX190" s="46"/>
      <c r="MTC190" s="2"/>
      <c r="MTQ190" s="46"/>
      <c r="MTV190" s="2"/>
      <c r="MUJ190" s="46"/>
      <c r="MUO190" s="2"/>
      <c r="MVC190" s="46"/>
      <c r="MVH190" s="2"/>
      <c r="MVV190" s="46"/>
      <c r="MWA190" s="2"/>
      <c r="MWO190" s="46"/>
      <c r="MWT190" s="2"/>
      <c r="MXH190" s="46"/>
      <c r="MXM190" s="2"/>
      <c r="MYA190" s="46"/>
      <c r="MYF190" s="2"/>
      <c r="MYT190" s="46"/>
      <c r="MYY190" s="2"/>
      <c r="MZM190" s="46"/>
      <c r="MZR190" s="2"/>
      <c r="NAF190" s="46"/>
      <c r="NAK190" s="2"/>
      <c r="NAY190" s="46"/>
      <c r="NBD190" s="2"/>
      <c r="NBR190" s="46"/>
      <c r="NBW190" s="2"/>
      <c r="NCK190" s="46"/>
      <c r="NCP190" s="2"/>
      <c r="NDD190" s="46"/>
      <c r="NDI190" s="2"/>
      <c r="NDW190" s="46"/>
      <c r="NEB190" s="2"/>
      <c r="NEP190" s="46"/>
      <c r="NEU190" s="2"/>
      <c r="NFI190" s="46"/>
      <c r="NFN190" s="2"/>
      <c r="NGB190" s="46"/>
      <c r="NGG190" s="2"/>
      <c r="NGU190" s="46"/>
      <c r="NGZ190" s="2"/>
      <c r="NHN190" s="46"/>
      <c r="NHS190" s="2"/>
      <c r="NIG190" s="46"/>
      <c r="NIL190" s="2"/>
      <c r="NIZ190" s="46"/>
      <c r="NJE190" s="2"/>
      <c r="NJS190" s="46"/>
      <c r="NJX190" s="2"/>
      <c r="NKL190" s="46"/>
      <c r="NKQ190" s="2"/>
      <c r="NLE190" s="46"/>
      <c r="NLJ190" s="2"/>
      <c r="NLX190" s="46"/>
      <c r="NMC190" s="2"/>
      <c r="NMQ190" s="46"/>
      <c r="NMV190" s="2"/>
      <c r="NNJ190" s="46"/>
      <c r="NNO190" s="2"/>
      <c r="NOC190" s="46"/>
      <c r="NOH190" s="2"/>
      <c r="NOV190" s="46"/>
      <c r="NPA190" s="2"/>
      <c r="NPO190" s="46"/>
      <c r="NPT190" s="2"/>
      <c r="NQH190" s="46"/>
      <c r="NQM190" s="2"/>
      <c r="NRA190" s="46"/>
      <c r="NRF190" s="2"/>
      <c r="NRT190" s="46"/>
      <c r="NRY190" s="2"/>
      <c r="NSM190" s="46"/>
      <c r="NSR190" s="2"/>
      <c r="NTF190" s="46"/>
      <c r="NTK190" s="2"/>
      <c r="NTY190" s="46"/>
      <c r="NUD190" s="2"/>
      <c r="NUR190" s="46"/>
      <c r="NUW190" s="2"/>
      <c r="NVK190" s="46"/>
      <c r="NVP190" s="2"/>
      <c r="NWD190" s="46"/>
      <c r="NWI190" s="2"/>
      <c r="NWW190" s="46"/>
      <c r="NXB190" s="2"/>
      <c r="NXP190" s="46"/>
      <c r="NXU190" s="2"/>
      <c r="NYI190" s="46"/>
      <c r="NYN190" s="2"/>
      <c r="NZB190" s="46"/>
      <c r="NZG190" s="2"/>
      <c r="NZU190" s="46"/>
      <c r="NZZ190" s="2"/>
      <c r="OAN190" s="46"/>
      <c r="OAS190" s="2"/>
      <c r="OBG190" s="46"/>
      <c r="OBL190" s="2"/>
      <c r="OBZ190" s="46"/>
      <c r="OCE190" s="2"/>
      <c r="OCS190" s="46"/>
      <c r="OCX190" s="2"/>
      <c r="ODL190" s="46"/>
      <c r="ODQ190" s="2"/>
      <c r="OEE190" s="46"/>
      <c r="OEJ190" s="2"/>
      <c r="OEX190" s="46"/>
      <c r="OFC190" s="2"/>
      <c r="OFQ190" s="46"/>
      <c r="OFV190" s="2"/>
      <c r="OGJ190" s="46"/>
      <c r="OGO190" s="2"/>
      <c r="OHC190" s="46"/>
      <c r="OHH190" s="2"/>
      <c r="OHV190" s="46"/>
      <c r="OIA190" s="2"/>
      <c r="OIO190" s="46"/>
      <c r="OIT190" s="2"/>
      <c r="OJH190" s="46"/>
      <c r="OJM190" s="2"/>
      <c r="OKA190" s="46"/>
      <c r="OKF190" s="2"/>
      <c r="OKT190" s="46"/>
      <c r="OKY190" s="2"/>
      <c r="OLM190" s="46"/>
      <c r="OLR190" s="2"/>
      <c r="OMF190" s="46"/>
      <c r="OMK190" s="2"/>
      <c r="OMY190" s="46"/>
      <c r="OND190" s="2"/>
      <c r="ONR190" s="46"/>
      <c r="ONW190" s="2"/>
      <c r="OOK190" s="46"/>
      <c r="OOP190" s="2"/>
      <c r="OPD190" s="46"/>
      <c r="OPI190" s="2"/>
      <c r="OPW190" s="46"/>
      <c r="OQB190" s="2"/>
      <c r="OQP190" s="46"/>
      <c r="OQU190" s="2"/>
      <c r="ORI190" s="46"/>
      <c r="ORN190" s="2"/>
      <c r="OSB190" s="46"/>
      <c r="OSG190" s="2"/>
      <c r="OSU190" s="46"/>
      <c r="OSZ190" s="2"/>
      <c r="OTN190" s="46"/>
      <c r="OTS190" s="2"/>
      <c r="OUG190" s="46"/>
      <c r="OUL190" s="2"/>
      <c r="OUZ190" s="46"/>
      <c r="OVE190" s="2"/>
      <c r="OVS190" s="46"/>
      <c r="OVX190" s="2"/>
      <c r="OWL190" s="46"/>
      <c r="OWQ190" s="2"/>
      <c r="OXE190" s="46"/>
      <c r="OXJ190" s="2"/>
      <c r="OXX190" s="46"/>
      <c r="OYC190" s="2"/>
      <c r="OYQ190" s="46"/>
      <c r="OYV190" s="2"/>
      <c r="OZJ190" s="46"/>
      <c r="OZO190" s="2"/>
      <c r="PAC190" s="46"/>
      <c r="PAH190" s="2"/>
      <c r="PAV190" s="46"/>
      <c r="PBA190" s="2"/>
      <c r="PBO190" s="46"/>
      <c r="PBT190" s="2"/>
      <c r="PCH190" s="46"/>
      <c r="PCM190" s="2"/>
      <c r="PDA190" s="46"/>
      <c r="PDF190" s="2"/>
      <c r="PDT190" s="46"/>
      <c r="PDY190" s="2"/>
      <c r="PEM190" s="46"/>
      <c r="PER190" s="2"/>
      <c r="PFF190" s="46"/>
      <c r="PFK190" s="2"/>
      <c r="PFY190" s="46"/>
      <c r="PGD190" s="2"/>
      <c r="PGR190" s="46"/>
      <c r="PGW190" s="2"/>
      <c r="PHK190" s="46"/>
      <c r="PHP190" s="2"/>
      <c r="PID190" s="46"/>
      <c r="PII190" s="2"/>
      <c r="PIW190" s="46"/>
      <c r="PJB190" s="2"/>
      <c r="PJP190" s="46"/>
      <c r="PJU190" s="2"/>
      <c r="PKI190" s="46"/>
      <c r="PKN190" s="2"/>
      <c r="PLB190" s="46"/>
      <c r="PLG190" s="2"/>
      <c r="PLU190" s="46"/>
      <c r="PLZ190" s="2"/>
      <c r="PMN190" s="46"/>
      <c r="PMS190" s="2"/>
      <c r="PNG190" s="46"/>
      <c r="PNL190" s="2"/>
      <c r="PNZ190" s="46"/>
      <c r="POE190" s="2"/>
      <c r="POS190" s="46"/>
      <c r="POX190" s="2"/>
      <c r="PPL190" s="46"/>
      <c r="PPQ190" s="2"/>
      <c r="PQE190" s="46"/>
      <c r="PQJ190" s="2"/>
      <c r="PQX190" s="46"/>
      <c r="PRC190" s="2"/>
      <c r="PRQ190" s="46"/>
      <c r="PRV190" s="2"/>
      <c r="PSJ190" s="46"/>
      <c r="PSO190" s="2"/>
      <c r="PTC190" s="46"/>
      <c r="PTH190" s="2"/>
      <c r="PTV190" s="46"/>
      <c r="PUA190" s="2"/>
      <c r="PUO190" s="46"/>
      <c r="PUT190" s="2"/>
      <c r="PVH190" s="46"/>
      <c r="PVM190" s="2"/>
      <c r="PWA190" s="46"/>
      <c r="PWF190" s="2"/>
      <c r="PWT190" s="46"/>
      <c r="PWY190" s="2"/>
      <c r="PXM190" s="46"/>
      <c r="PXR190" s="2"/>
      <c r="PYF190" s="46"/>
      <c r="PYK190" s="2"/>
      <c r="PYY190" s="46"/>
      <c r="PZD190" s="2"/>
      <c r="PZR190" s="46"/>
      <c r="PZW190" s="2"/>
      <c r="QAK190" s="46"/>
      <c r="QAP190" s="2"/>
      <c r="QBD190" s="46"/>
      <c r="QBI190" s="2"/>
      <c r="QBW190" s="46"/>
      <c r="QCB190" s="2"/>
      <c r="QCP190" s="46"/>
      <c r="QCU190" s="2"/>
      <c r="QDI190" s="46"/>
      <c r="QDN190" s="2"/>
      <c r="QEB190" s="46"/>
      <c r="QEG190" s="2"/>
      <c r="QEU190" s="46"/>
      <c r="QEZ190" s="2"/>
      <c r="QFN190" s="46"/>
      <c r="QFS190" s="2"/>
      <c r="QGG190" s="46"/>
      <c r="QGL190" s="2"/>
      <c r="QGZ190" s="46"/>
      <c r="QHE190" s="2"/>
      <c r="QHS190" s="46"/>
      <c r="QHX190" s="2"/>
      <c r="QIL190" s="46"/>
      <c r="QIQ190" s="2"/>
      <c r="QJE190" s="46"/>
      <c r="QJJ190" s="2"/>
      <c r="QJX190" s="46"/>
      <c r="QKC190" s="2"/>
      <c r="QKQ190" s="46"/>
      <c r="QKV190" s="2"/>
      <c r="QLJ190" s="46"/>
      <c r="QLO190" s="2"/>
      <c r="QMC190" s="46"/>
      <c r="QMH190" s="2"/>
      <c r="QMV190" s="46"/>
      <c r="QNA190" s="2"/>
      <c r="QNO190" s="46"/>
      <c r="QNT190" s="2"/>
      <c r="QOH190" s="46"/>
      <c r="QOM190" s="2"/>
      <c r="QPA190" s="46"/>
      <c r="QPF190" s="2"/>
      <c r="QPT190" s="46"/>
      <c r="QPY190" s="2"/>
      <c r="QQM190" s="46"/>
      <c r="QQR190" s="2"/>
      <c r="QRF190" s="46"/>
      <c r="QRK190" s="2"/>
      <c r="QRY190" s="46"/>
      <c r="QSD190" s="2"/>
      <c r="QSR190" s="46"/>
      <c r="QSW190" s="2"/>
      <c r="QTK190" s="46"/>
      <c r="QTP190" s="2"/>
      <c r="QUD190" s="46"/>
      <c r="QUI190" s="2"/>
      <c r="QUW190" s="46"/>
      <c r="QVB190" s="2"/>
      <c r="QVP190" s="46"/>
      <c r="QVU190" s="2"/>
      <c r="QWI190" s="46"/>
      <c r="QWN190" s="2"/>
      <c r="QXB190" s="46"/>
      <c r="QXG190" s="2"/>
      <c r="QXU190" s="46"/>
      <c r="QXZ190" s="2"/>
      <c r="QYN190" s="46"/>
      <c r="QYS190" s="2"/>
      <c r="QZG190" s="46"/>
      <c r="QZL190" s="2"/>
      <c r="QZZ190" s="46"/>
      <c r="RAE190" s="2"/>
      <c r="RAS190" s="46"/>
      <c r="RAX190" s="2"/>
      <c r="RBL190" s="46"/>
      <c r="RBQ190" s="2"/>
      <c r="RCE190" s="46"/>
      <c r="RCJ190" s="2"/>
      <c r="RCX190" s="46"/>
      <c r="RDC190" s="2"/>
      <c r="RDQ190" s="46"/>
      <c r="RDV190" s="2"/>
      <c r="REJ190" s="46"/>
      <c r="REO190" s="2"/>
      <c r="RFC190" s="46"/>
      <c r="RFH190" s="2"/>
      <c r="RFV190" s="46"/>
      <c r="RGA190" s="2"/>
      <c r="RGO190" s="46"/>
      <c r="RGT190" s="2"/>
      <c r="RHH190" s="46"/>
      <c r="RHM190" s="2"/>
      <c r="RIA190" s="46"/>
      <c r="RIF190" s="2"/>
      <c r="RIT190" s="46"/>
      <c r="RIY190" s="2"/>
      <c r="RJM190" s="46"/>
      <c r="RJR190" s="2"/>
      <c r="RKF190" s="46"/>
      <c r="RKK190" s="2"/>
      <c r="RKY190" s="46"/>
      <c r="RLD190" s="2"/>
      <c r="RLR190" s="46"/>
      <c r="RLW190" s="2"/>
      <c r="RMK190" s="46"/>
      <c r="RMP190" s="2"/>
      <c r="RND190" s="46"/>
      <c r="RNI190" s="2"/>
      <c r="RNW190" s="46"/>
      <c r="ROB190" s="2"/>
      <c r="ROP190" s="46"/>
      <c r="ROU190" s="2"/>
      <c r="RPI190" s="46"/>
      <c r="RPN190" s="2"/>
      <c r="RQB190" s="46"/>
      <c r="RQG190" s="2"/>
      <c r="RQU190" s="46"/>
      <c r="RQZ190" s="2"/>
      <c r="RRN190" s="46"/>
      <c r="RRS190" s="2"/>
      <c r="RSG190" s="46"/>
      <c r="RSL190" s="2"/>
      <c r="RSZ190" s="46"/>
      <c r="RTE190" s="2"/>
      <c r="RTS190" s="46"/>
      <c r="RTX190" s="2"/>
      <c r="RUL190" s="46"/>
      <c r="RUQ190" s="2"/>
      <c r="RVE190" s="46"/>
      <c r="RVJ190" s="2"/>
      <c r="RVX190" s="46"/>
      <c r="RWC190" s="2"/>
      <c r="RWQ190" s="46"/>
      <c r="RWV190" s="2"/>
      <c r="RXJ190" s="46"/>
      <c r="RXO190" s="2"/>
      <c r="RYC190" s="46"/>
      <c r="RYH190" s="2"/>
      <c r="RYV190" s="46"/>
      <c r="RZA190" s="2"/>
      <c r="RZO190" s="46"/>
      <c r="RZT190" s="2"/>
      <c r="SAH190" s="46"/>
      <c r="SAM190" s="2"/>
      <c r="SBA190" s="46"/>
      <c r="SBF190" s="2"/>
      <c r="SBT190" s="46"/>
      <c r="SBY190" s="2"/>
      <c r="SCM190" s="46"/>
      <c r="SCR190" s="2"/>
      <c r="SDF190" s="46"/>
      <c r="SDK190" s="2"/>
      <c r="SDY190" s="46"/>
      <c r="SED190" s="2"/>
      <c r="SER190" s="46"/>
      <c r="SEW190" s="2"/>
      <c r="SFK190" s="46"/>
      <c r="SFP190" s="2"/>
      <c r="SGD190" s="46"/>
      <c r="SGI190" s="2"/>
      <c r="SGW190" s="46"/>
      <c r="SHB190" s="2"/>
      <c r="SHP190" s="46"/>
      <c r="SHU190" s="2"/>
      <c r="SII190" s="46"/>
      <c r="SIN190" s="2"/>
      <c r="SJB190" s="46"/>
      <c r="SJG190" s="2"/>
      <c r="SJU190" s="46"/>
      <c r="SJZ190" s="2"/>
      <c r="SKN190" s="46"/>
      <c r="SKS190" s="2"/>
      <c r="SLG190" s="46"/>
      <c r="SLL190" s="2"/>
      <c r="SLZ190" s="46"/>
      <c r="SME190" s="2"/>
      <c r="SMS190" s="46"/>
      <c r="SMX190" s="2"/>
      <c r="SNL190" s="46"/>
      <c r="SNQ190" s="2"/>
      <c r="SOE190" s="46"/>
      <c r="SOJ190" s="2"/>
      <c r="SOX190" s="46"/>
      <c r="SPC190" s="2"/>
      <c r="SPQ190" s="46"/>
      <c r="SPV190" s="2"/>
      <c r="SQJ190" s="46"/>
      <c r="SQO190" s="2"/>
      <c r="SRC190" s="46"/>
      <c r="SRH190" s="2"/>
      <c r="SRV190" s="46"/>
      <c r="SSA190" s="2"/>
      <c r="SSO190" s="46"/>
      <c r="SST190" s="2"/>
      <c r="STH190" s="46"/>
      <c r="STM190" s="2"/>
      <c r="SUA190" s="46"/>
      <c r="SUF190" s="2"/>
      <c r="SUT190" s="46"/>
      <c r="SUY190" s="2"/>
      <c r="SVM190" s="46"/>
      <c r="SVR190" s="2"/>
      <c r="SWF190" s="46"/>
      <c r="SWK190" s="2"/>
      <c r="SWY190" s="46"/>
      <c r="SXD190" s="2"/>
      <c r="SXR190" s="46"/>
      <c r="SXW190" s="2"/>
      <c r="SYK190" s="46"/>
      <c r="SYP190" s="2"/>
      <c r="SZD190" s="46"/>
      <c r="SZI190" s="2"/>
      <c r="SZW190" s="46"/>
      <c r="TAB190" s="2"/>
      <c r="TAP190" s="46"/>
      <c r="TAU190" s="2"/>
      <c r="TBI190" s="46"/>
      <c r="TBN190" s="2"/>
      <c r="TCB190" s="46"/>
      <c r="TCG190" s="2"/>
      <c r="TCU190" s="46"/>
      <c r="TCZ190" s="2"/>
      <c r="TDN190" s="46"/>
      <c r="TDS190" s="2"/>
      <c r="TEG190" s="46"/>
      <c r="TEL190" s="2"/>
      <c r="TEZ190" s="46"/>
      <c r="TFE190" s="2"/>
      <c r="TFS190" s="46"/>
      <c r="TFX190" s="2"/>
      <c r="TGL190" s="46"/>
      <c r="TGQ190" s="2"/>
      <c r="THE190" s="46"/>
      <c r="THJ190" s="2"/>
      <c r="THX190" s="46"/>
      <c r="TIC190" s="2"/>
      <c r="TIQ190" s="46"/>
      <c r="TIV190" s="2"/>
      <c r="TJJ190" s="46"/>
      <c r="TJO190" s="2"/>
      <c r="TKC190" s="46"/>
      <c r="TKH190" s="2"/>
      <c r="TKV190" s="46"/>
      <c r="TLA190" s="2"/>
      <c r="TLO190" s="46"/>
      <c r="TLT190" s="2"/>
      <c r="TMH190" s="46"/>
      <c r="TMM190" s="2"/>
      <c r="TNA190" s="46"/>
      <c r="TNF190" s="2"/>
      <c r="TNT190" s="46"/>
      <c r="TNY190" s="2"/>
      <c r="TOM190" s="46"/>
      <c r="TOR190" s="2"/>
      <c r="TPF190" s="46"/>
      <c r="TPK190" s="2"/>
      <c r="TPY190" s="46"/>
      <c r="TQD190" s="2"/>
      <c r="TQR190" s="46"/>
      <c r="TQW190" s="2"/>
      <c r="TRK190" s="46"/>
      <c r="TRP190" s="2"/>
      <c r="TSD190" s="46"/>
      <c r="TSI190" s="2"/>
      <c r="TSW190" s="46"/>
      <c r="TTB190" s="2"/>
      <c r="TTP190" s="46"/>
      <c r="TTU190" s="2"/>
      <c r="TUI190" s="46"/>
      <c r="TUN190" s="2"/>
      <c r="TVB190" s="46"/>
      <c r="TVG190" s="2"/>
      <c r="TVU190" s="46"/>
      <c r="TVZ190" s="2"/>
      <c r="TWN190" s="46"/>
      <c r="TWS190" s="2"/>
      <c r="TXG190" s="46"/>
      <c r="TXL190" s="2"/>
      <c r="TXZ190" s="46"/>
      <c r="TYE190" s="2"/>
      <c r="TYS190" s="46"/>
      <c r="TYX190" s="2"/>
      <c r="TZL190" s="46"/>
      <c r="TZQ190" s="2"/>
      <c r="UAE190" s="46"/>
      <c r="UAJ190" s="2"/>
      <c r="UAX190" s="46"/>
      <c r="UBC190" s="2"/>
      <c r="UBQ190" s="46"/>
      <c r="UBV190" s="2"/>
      <c r="UCJ190" s="46"/>
      <c r="UCO190" s="2"/>
      <c r="UDC190" s="46"/>
      <c r="UDH190" s="2"/>
      <c r="UDV190" s="46"/>
      <c r="UEA190" s="2"/>
      <c r="UEO190" s="46"/>
      <c r="UET190" s="2"/>
      <c r="UFH190" s="46"/>
      <c r="UFM190" s="2"/>
      <c r="UGA190" s="46"/>
      <c r="UGF190" s="2"/>
      <c r="UGT190" s="46"/>
      <c r="UGY190" s="2"/>
      <c r="UHM190" s="46"/>
      <c r="UHR190" s="2"/>
      <c r="UIF190" s="46"/>
      <c r="UIK190" s="2"/>
      <c r="UIY190" s="46"/>
      <c r="UJD190" s="2"/>
      <c r="UJR190" s="46"/>
      <c r="UJW190" s="2"/>
      <c r="UKK190" s="46"/>
      <c r="UKP190" s="2"/>
      <c r="ULD190" s="46"/>
      <c r="ULI190" s="2"/>
      <c r="ULW190" s="46"/>
      <c r="UMB190" s="2"/>
      <c r="UMP190" s="46"/>
      <c r="UMU190" s="2"/>
      <c r="UNI190" s="46"/>
      <c r="UNN190" s="2"/>
      <c r="UOB190" s="46"/>
      <c r="UOG190" s="2"/>
      <c r="UOU190" s="46"/>
      <c r="UOZ190" s="2"/>
      <c r="UPN190" s="46"/>
      <c r="UPS190" s="2"/>
      <c r="UQG190" s="46"/>
      <c r="UQL190" s="2"/>
      <c r="UQZ190" s="46"/>
      <c r="URE190" s="2"/>
      <c r="URS190" s="46"/>
      <c r="URX190" s="2"/>
      <c r="USL190" s="46"/>
      <c r="USQ190" s="2"/>
      <c r="UTE190" s="46"/>
      <c r="UTJ190" s="2"/>
      <c r="UTX190" s="46"/>
      <c r="UUC190" s="2"/>
      <c r="UUQ190" s="46"/>
      <c r="UUV190" s="2"/>
      <c r="UVJ190" s="46"/>
      <c r="UVO190" s="2"/>
      <c r="UWC190" s="46"/>
      <c r="UWH190" s="2"/>
      <c r="UWV190" s="46"/>
      <c r="UXA190" s="2"/>
      <c r="UXO190" s="46"/>
      <c r="UXT190" s="2"/>
      <c r="UYH190" s="46"/>
      <c r="UYM190" s="2"/>
      <c r="UZA190" s="46"/>
      <c r="UZF190" s="2"/>
      <c r="UZT190" s="46"/>
      <c r="UZY190" s="2"/>
      <c r="VAM190" s="46"/>
      <c r="VAR190" s="2"/>
      <c r="VBF190" s="46"/>
      <c r="VBK190" s="2"/>
      <c r="VBY190" s="46"/>
      <c r="VCD190" s="2"/>
      <c r="VCR190" s="46"/>
      <c r="VCW190" s="2"/>
      <c r="VDK190" s="46"/>
      <c r="VDP190" s="2"/>
      <c r="VED190" s="46"/>
      <c r="VEI190" s="2"/>
      <c r="VEW190" s="46"/>
      <c r="VFB190" s="2"/>
      <c r="VFP190" s="46"/>
      <c r="VFU190" s="2"/>
      <c r="VGI190" s="46"/>
      <c r="VGN190" s="2"/>
      <c r="VHB190" s="46"/>
      <c r="VHG190" s="2"/>
      <c r="VHU190" s="46"/>
      <c r="VHZ190" s="2"/>
      <c r="VIN190" s="46"/>
      <c r="VIS190" s="2"/>
      <c r="VJG190" s="46"/>
      <c r="VJL190" s="2"/>
      <c r="VJZ190" s="46"/>
      <c r="VKE190" s="2"/>
      <c r="VKS190" s="46"/>
      <c r="VKX190" s="2"/>
      <c r="VLL190" s="46"/>
      <c r="VLQ190" s="2"/>
      <c r="VME190" s="46"/>
      <c r="VMJ190" s="2"/>
      <c r="VMX190" s="46"/>
      <c r="VNC190" s="2"/>
      <c r="VNQ190" s="46"/>
      <c r="VNV190" s="2"/>
      <c r="VOJ190" s="46"/>
      <c r="VOO190" s="2"/>
      <c r="VPC190" s="46"/>
      <c r="VPH190" s="2"/>
      <c r="VPV190" s="46"/>
      <c r="VQA190" s="2"/>
      <c r="VQO190" s="46"/>
      <c r="VQT190" s="2"/>
      <c r="VRH190" s="46"/>
      <c r="VRM190" s="2"/>
      <c r="VSA190" s="46"/>
      <c r="VSF190" s="2"/>
      <c r="VST190" s="46"/>
      <c r="VSY190" s="2"/>
      <c r="VTM190" s="46"/>
      <c r="VTR190" s="2"/>
      <c r="VUF190" s="46"/>
      <c r="VUK190" s="2"/>
      <c r="VUY190" s="46"/>
      <c r="VVD190" s="2"/>
      <c r="VVR190" s="46"/>
      <c r="VVW190" s="2"/>
      <c r="VWK190" s="46"/>
      <c r="VWP190" s="2"/>
      <c r="VXD190" s="46"/>
      <c r="VXI190" s="2"/>
      <c r="VXW190" s="46"/>
      <c r="VYB190" s="2"/>
      <c r="VYP190" s="46"/>
      <c r="VYU190" s="2"/>
      <c r="VZI190" s="46"/>
      <c r="VZN190" s="2"/>
      <c r="WAB190" s="46"/>
      <c r="WAG190" s="2"/>
      <c r="WAU190" s="46"/>
      <c r="WAZ190" s="2"/>
      <c r="WBN190" s="46"/>
      <c r="WBS190" s="2"/>
      <c r="WCG190" s="46"/>
      <c r="WCL190" s="2"/>
      <c r="WCZ190" s="46"/>
      <c r="WDE190" s="2"/>
      <c r="WDS190" s="46"/>
      <c r="WDX190" s="2"/>
      <c r="WEL190" s="46"/>
      <c r="WEQ190" s="2"/>
      <c r="WFE190" s="46"/>
      <c r="WFJ190" s="2"/>
      <c r="WFX190" s="46"/>
      <c r="WGC190" s="2"/>
      <c r="WGQ190" s="46"/>
      <c r="WGV190" s="2"/>
      <c r="WHJ190" s="46"/>
      <c r="WHO190" s="2"/>
      <c r="WIC190" s="46"/>
      <c r="WIH190" s="2"/>
      <c r="WIV190" s="46"/>
      <c r="WJA190" s="2"/>
      <c r="WJO190" s="46"/>
      <c r="WJT190" s="2"/>
      <c r="WKH190" s="46"/>
      <c r="WKM190" s="2"/>
      <c r="WLA190" s="46"/>
      <c r="WLF190" s="2"/>
      <c r="WLT190" s="46"/>
      <c r="WLY190" s="2"/>
      <c r="WMM190" s="46"/>
      <c r="WMR190" s="2"/>
      <c r="WNF190" s="46"/>
      <c r="WNK190" s="2"/>
      <c r="WNY190" s="46"/>
      <c r="WOD190" s="2"/>
      <c r="WOR190" s="46"/>
      <c r="WOW190" s="2"/>
      <c r="WPK190" s="46"/>
      <c r="WPP190" s="2"/>
      <c r="WQD190" s="46"/>
      <c r="WQI190" s="2"/>
      <c r="WQW190" s="46"/>
      <c r="WRB190" s="2"/>
      <c r="WRP190" s="46"/>
      <c r="WRU190" s="2"/>
      <c r="WSI190" s="46"/>
      <c r="WSN190" s="2"/>
      <c r="WTB190" s="46"/>
      <c r="WTG190" s="2"/>
      <c r="WTU190" s="46"/>
      <c r="WTZ190" s="2"/>
      <c r="WUN190" s="46"/>
      <c r="WUS190" s="2"/>
      <c r="WVG190" s="46"/>
      <c r="WVL190" s="2"/>
      <c r="WVZ190" s="46"/>
      <c r="WWE190" s="2"/>
      <c r="WWS190" s="46"/>
      <c r="WWX190" s="2"/>
      <c r="WXL190" s="46"/>
      <c r="WXQ190" s="2"/>
      <c r="WYE190" s="46"/>
      <c r="WYJ190" s="2"/>
      <c r="WYX190" s="46"/>
      <c r="WZC190" s="2"/>
      <c r="WZQ190" s="46"/>
      <c r="WZV190" s="2"/>
      <c r="XAJ190" s="46"/>
      <c r="XAO190" s="2"/>
      <c r="XBC190" s="46"/>
      <c r="XBH190" s="2"/>
      <c r="XBV190" s="46"/>
      <c r="XCA190" s="2"/>
      <c r="XCO190" s="46"/>
      <c r="XCT190" s="2"/>
      <c r="XDH190" s="46"/>
      <c r="XDM190" s="2"/>
      <c r="XEA190" s="46"/>
      <c r="XEF190" s="2"/>
      <c r="XET190" s="46"/>
      <c r="XEY190" s="2"/>
    </row>
    <row r="191" spans="1:1022 1027:2048 2053:3060 3074:4086 4100:5112 5126:6138 6152:7164 7178:8190 8204:9216 9230:10237 10242:11263 11268:12275 12289:13301 13315:14327 14341:15353 15367:16379" ht="16" x14ac:dyDescent="0.2">
      <c r="A191" s="2" t="s">
        <v>187</v>
      </c>
      <c r="B191" s="3">
        <v>1281000</v>
      </c>
      <c r="C191" s="3">
        <v>88230000</v>
      </c>
      <c r="D191" s="3">
        <v>-62991000</v>
      </c>
      <c r="E191" s="3">
        <v>17317000</v>
      </c>
      <c r="F191" s="3">
        <v>10145000</v>
      </c>
      <c r="G191" s="3">
        <v>90802000</v>
      </c>
      <c r="H191" s="3">
        <v>129353000</v>
      </c>
      <c r="I191" s="3">
        <v>156434000</v>
      </c>
      <c r="J191" s="3">
        <v>268807000</v>
      </c>
      <c r="K191" s="3">
        <v>510249000</v>
      </c>
      <c r="L191" s="3">
        <v>766556000</v>
      </c>
      <c r="M191" s="3">
        <v>682077000</v>
      </c>
      <c r="N191" s="3">
        <v>938530000</v>
      </c>
      <c r="O191" s="4">
        <v>668033000</v>
      </c>
      <c r="P191" s="3" t="s">
        <v>24</v>
      </c>
      <c r="Q191" s="3">
        <v>93034000</v>
      </c>
      <c r="R191" s="3">
        <v>190914000</v>
      </c>
      <c r="S191" s="3">
        <v>50507000</v>
      </c>
    </row>
    <row r="192" spans="1:1022 1027:2048 2053:3060 3074:4086 4100:5112 5126:6138 6152:7164 7178:8190 8204:9216 9230:10237 10242:11263 11268:12275 12289:13301 13315:14327 14341:15353 15367:16379" ht="16" x14ac:dyDescent="0.2">
      <c r="A192" s="2" t="s">
        <v>188</v>
      </c>
      <c r="B192" s="5">
        <v>0.28000000000000003</v>
      </c>
      <c r="C192" s="5">
        <v>0.21</v>
      </c>
      <c r="D192" s="5">
        <v>-0.35</v>
      </c>
      <c r="E192" s="5">
        <v>0.43</v>
      </c>
      <c r="F192" s="5">
        <v>0.19</v>
      </c>
      <c r="G192" s="5">
        <v>0.72</v>
      </c>
      <c r="H192" s="5">
        <v>1.18</v>
      </c>
      <c r="I192" s="5">
        <v>1.25</v>
      </c>
      <c r="J192" s="5">
        <v>2.54</v>
      </c>
      <c r="K192" s="5">
        <v>4.1900000000000004</v>
      </c>
      <c r="L192" s="5">
        <v>6.01</v>
      </c>
      <c r="M192" s="5">
        <v>5.73</v>
      </c>
      <c r="N192" s="5">
        <v>8.16</v>
      </c>
      <c r="O192" s="6">
        <v>5.87</v>
      </c>
      <c r="P192" s="3" t="s">
        <v>24</v>
      </c>
      <c r="Q192" s="5">
        <v>0.82</v>
      </c>
      <c r="R192" s="5">
        <v>1.64</v>
      </c>
      <c r="S192" s="5">
        <v>0.39</v>
      </c>
    </row>
    <row r="193" spans="1:19" ht="16" x14ac:dyDescent="0.2">
      <c r="A193" s="2" t="s">
        <v>189</v>
      </c>
      <c r="B193" s="5">
        <v>7.23</v>
      </c>
      <c r="C193" s="5">
        <v>4.3899999999999997</v>
      </c>
      <c r="D193" s="5">
        <v>4.21</v>
      </c>
      <c r="E193" s="5">
        <v>7.07</v>
      </c>
      <c r="F193" s="5">
        <v>8.81</v>
      </c>
      <c r="G193" s="5">
        <v>4.96</v>
      </c>
      <c r="H193" s="5">
        <v>7.25</v>
      </c>
      <c r="I193" s="5">
        <v>11.8</v>
      </c>
      <c r="J193" s="5">
        <v>6.81</v>
      </c>
      <c r="K193" s="5">
        <v>10.43</v>
      </c>
      <c r="L193" s="5">
        <v>19.97</v>
      </c>
      <c r="M193" s="5">
        <v>23.67</v>
      </c>
      <c r="N193" s="5">
        <v>13.01</v>
      </c>
      <c r="O193" s="6">
        <v>16.36</v>
      </c>
      <c r="P193" s="3" t="s">
        <v>24</v>
      </c>
      <c r="Q193" s="5">
        <v>13.52</v>
      </c>
      <c r="R193" s="5">
        <v>15.87</v>
      </c>
      <c r="S193" s="5">
        <v>17.64</v>
      </c>
    </row>
    <row r="194" spans="1:19" ht="16" x14ac:dyDescent="0.2">
      <c r="A194" s="2" t="s">
        <v>190</v>
      </c>
      <c r="B194" s="5">
        <v>1.86</v>
      </c>
      <c r="C194" s="5">
        <v>1.99</v>
      </c>
      <c r="D194" s="5">
        <v>1.94</v>
      </c>
      <c r="E194" s="5">
        <v>1.7</v>
      </c>
      <c r="F194" s="5">
        <v>1.46</v>
      </c>
      <c r="G194" s="5">
        <v>1.82</v>
      </c>
      <c r="H194" s="5">
        <v>1.91</v>
      </c>
      <c r="I194" s="5">
        <v>1.1599999999999999</v>
      </c>
      <c r="J194" s="5">
        <v>1.49</v>
      </c>
      <c r="K194" s="5">
        <v>1.6</v>
      </c>
      <c r="L194" s="5">
        <v>1.39</v>
      </c>
      <c r="M194" s="5">
        <v>1.17</v>
      </c>
      <c r="N194" s="5">
        <v>1.23</v>
      </c>
      <c r="O194" s="6">
        <v>1.23</v>
      </c>
      <c r="P194" s="3" t="s">
        <v>24</v>
      </c>
      <c r="Q194" s="5">
        <v>1.1200000000000001</v>
      </c>
      <c r="R194" s="5">
        <v>1.46</v>
      </c>
      <c r="S194" s="5">
        <v>0.98</v>
      </c>
    </row>
    <row r="196" spans="1:19" ht="16" x14ac:dyDescent="0.2">
      <c r="A196" s="7"/>
    </row>
  </sheetData>
  <pageMargins left="0.7" right="0.7" top="0.75" bottom="0.75" header="0.3" footer="0.3"/>
  <ignoredErrors>
    <ignoredError sqref="B1:S2 A4:S7 A9:S11 A13 A15:S16 A19:S33 A37:S95 A191:S195 A96:G96 N96:S96 I96 A97:S128 A130:S141 A142:N142 P142: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72475-FF4A-8649-AE06-B602917B031B}">
  <dimension ref="A1:P110"/>
  <sheetViews>
    <sheetView tabSelected="1" workbookViewId="0">
      <selection activeCell="D10" sqref="D10"/>
    </sheetView>
  </sheetViews>
  <sheetFormatPr baseColWidth="10" defaultRowHeight="15" x14ac:dyDescent="0.2"/>
  <cols>
    <col min="1" max="16" width="18.83203125" customWidth="1"/>
  </cols>
  <sheetData>
    <row r="1" spans="1:16" s="116" customFormat="1" ht="22" customHeight="1" x14ac:dyDescent="0.2">
      <c r="A1" s="116" t="e" vm="1">
        <v>#VALUE!</v>
      </c>
    </row>
    <row r="2" spans="1:16" s="116" customFormat="1" ht="22" customHeight="1" x14ac:dyDescent="0.2"/>
    <row r="3" spans="1:16" ht="22" customHeight="1" x14ac:dyDescent="0.2">
      <c r="A3" s="48" cm="1">
        <f t="array" ref="A3">_FV(A1,"Market cap",TRUE)</f>
        <v>45173610000</v>
      </c>
      <c r="B3" s="49" t="s">
        <v>241</v>
      </c>
      <c r="C3" s="51">
        <f>Financials!O8*0.01</f>
        <v>0.3569</v>
      </c>
      <c r="D3" s="49" t="s">
        <v>201</v>
      </c>
      <c r="E3" s="51">
        <f>SUM(C11:E11)/3</f>
        <v>0.15907301409925287</v>
      </c>
      <c r="F3" s="52" t="s">
        <v>202</v>
      </c>
      <c r="G3" s="50">
        <f>SUM(Financials!K129:N129)/4</f>
        <v>-2.4703388897535511E-2</v>
      </c>
      <c r="H3" s="52" t="s">
        <v>247</v>
      </c>
      <c r="I3" s="53">
        <f>J14*(1+I7)/(I6-I7)</f>
        <v>22004097595.067196</v>
      </c>
      <c r="J3" s="49" t="s">
        <v>204</v>
      </c>
      <c r="K3" s="91"/>
      <c r="L3" s="89"/>
      <c r="M3" s="54"/>
      <c r="N3" s="117" t="s">
        <v>206</v>
      </c>
      <c r="O3" s="118"/>
      <c r="P3" s="54"/>
    </row>
    <row r="4" spans="1:16" ht="22" customHeight="1" x14ac:dyDescent="0.2">
      <c r="A4" s="55">
        <f>Financials!O56-Financials!O96-Financials!O105</f>
        <v>-24829000</v>
      </c>
      <c r="B4" s="56" t="s">
        <v>207</v>
      </c>
      <c r="C4" s="58">
        <f>Financials!O17*0.01</f>
        <v>0.2858</v>
      </c>
      <c r="D4" s="56" t="s">
        <v>208</v>
      </c>
      <c r="E4" s="58">
        <f>SUM(C13:E13)/3</f>
        <v>0.32065056617983179</v>
      </c>
      <c r="F4" s="90" t="s">
        <v>209</v>
      </c>
      <c r="G4" s="60">
        <f>A5*(1+(5*G3))</f>
        <v>95771638.158025995</v>
      </c>
      <c r="H4" s="59" t="s">
        <v>226</v>
      </c>
      <c r="I4" s="64">
        <f>NPV(I6,F14,G14,H14,I14,(J14+I3))</f>
        <v>18860172274.031826</v>
      </c>
      <c r="J4" s="59" t="s">
        <v>211</v>
      </c>
      <c r="K4" s="91"/>
      <c r="L4" s="89"/>
      <c r="M4" s="54"/>
      <c r="N4" s="119" t="s">
        <v>213</v>
      </c>
      <c r="O4" s="120"/>
      <c r="P4" s="54"/>
    </row>
    <row r="5" spans="1:16" ht="22" customHeight="1" x14ac:dyDescent="0.2">
      <c r="A5" s="60" cm="1">
        <f t="array" ref="A5">_FV(A1,"Shares outstanding",TRUE)</f>
        <v>109268100</v>
      </c>
      <c r="B5" s="56" t="s">
        <v>246</v>
      </c>
      <c r="C5" s="87">
        <f>Financials!O34*0.01</f>
        <v>0.21489999999999998</v>
      </c>
      <c r="D5" s="56" t="s">
        <v>214</v>
      </c>
      <c r="E5" s="58">
        <f>SUM(C15:E15)/3</f>
        <v>0.24121788039812253</v>
      </c>
      <c r="F5" s="90" t="s">
        <v>215</v>
      </c>
      <c r="G5" s="60">
        <f>Financials!O56</f>
        <v>55141000</v>
      </c>
      <c r="H5" s="59" t="s">
        <v>216</v>
      </c>
      <c r="I5" s="64">
        <f>I4+G5-G6</f>
        <v>18835343274.031826</v>
      </c>
      <c r="J5" s="59" t="s">
        <v>217</v>
      </c>
      <c r="K5" s="99" cm="1">
        <f t="array" ref="K5">_FV(A1,"Price")</f>
        <v>413.42</v>
      </c>
      <c r="L5" s="96" t="s">
        <v>205</v>
      </c>
      <c r="M5" s="54"/>
      <c r="N5" s="83" t="s">
        <v>219</v>
      </c>
      <c r="O5" s="103">
        <f>Financials!O21</f>
        <v>1566000</v>
      </c>
      <c r="P5" s="54"/>
    </row>
    <row r="6" spans="1:16" ht="22" customHeight="1" x14ac:dyDescent="0.2">
      <c r="A6" s="62">
        <f>O20/F10</f>
        <v>7.74847512864494</v>
      </c>
      <c r="B6" s="56" t="s">
        <v>220</v>
      </c>
      <c r="C6" s="58">
        <f>Financials!O190</f>
        <v>0.10896750065622819</v>
      </c>
      <c r="D6" s="63" t="s">
        <v>200</v>
      </c>
      <c r="E6" s="58">
        <f>Financials!O33/Financials!O126</f>
        <v>0.33369476009483212</v>
      </c>
      <c r="F6" s="56" t="s">
        <v>221</v>
      </c>
      <c r="G6" s="64">
        <f>Financials!O96+Financials!O105</f>
        <v>79970000</v>
      </c>
      <c r="H6" s="59" t="s">
        <v>222</v>
      </c>
      <c r="I6" s="57">
        <f>N25</f>
        <v>8.6209054094630644E-2</v>
      </c>
      <c r="J6" s="59" t="s">
        <v>210</v>
      </c>
      <c r="K6" s="101">
        <f>I5/G4</f>
        <v>196.66932336432379</v>
      </c>
      <c r="L6" s="97" t="s">
        <v>212</v>
      </c>
      <c r="M6" s="54"/>
      <c r="N6" s="84" t="s">
        <v>223</v>
      </c>
      <c r="O6" s="104">
        <f>Financials!O96</f>
        <v>20000000</v>
      </c>
      <c r="P6" s="54"/>
    </row>
    <row r="7" spans="1:16" ht="22" customHeight="1" x14ac:dyDescent="0.2">
      <c r="A7" s="65">
        <f>O20/F12</f>
        <v>38.153386824324322</v>
      </c>
      <c r="B7" s="66" t="s">
        <v>224</v>
      </c>
      <c r="C7" s="67">
        <f>F14/O21</f>
        <v>1.843832023897336E-2</v>
      </c>
      <c r="D7" s="68" t="s">
        <v>248</v>
      </c>
      <c r="E7" s="69">
        <f>(Financials!O16*(1-0.25))/(Financials!O126+Financials!O105+Financials!O96)</f>
        <v>0.32610234393872195</v>
      </c>
      <c r="F7" s="66" t="s">
        <v>196</v>
      </c>
      <c r="G7" s="70">
        <f>(Financials!O96+Financials!O105)/Financials!O126</f>
        <v>2.0868807304734952E-2</v>
      </c>
      <c r="H7" s="71" t="s">
        <v>225</v>
      </c>
      <c r="I7" s="88">
        <v>2.5000000000000001E-2</v>
      </c>
      <c r="J7" s="100" t="s">
        <v>203</v>
      </c>
      <c r="K7" s="61">
        <f>K6/K5-1</f>
        <v>-0.52428686719480488</v>
      </c>
      <c r="L7" s="98" t="s">
        <v>218</v>
      </c>
      <c r="M7" s="54"/>
      <c r="N7" s="84" t="s">
        <v>227</v>
      </c>
      <c r="O7" s="104">
        <f>Financials!O105</f>
        <v>59970000</v>
      </c>
      <c r="P7" s="54"/>
    </row>
    <row r="8" spans="1:16" ht="22" customHeight="1" x14ac:dyDescent="0.2">
      <c r="A8" s="72"/>
      <c r="B8" s="54"/>
      <c r="C8" s="54"/>
      <c r="D8" s="54"/>
      <c r="E8" s="54"/>
      <c r="F8" s="54"/>
      <c r="G8" s="54"/>
      <c r="H8" s="54"/>
      <c r="I8" s="54"/>
      <c r="J8" s="54"/>
      <c r="K8" s="54"/>
      <c r="L8" s="54"/>
      <c r="M8" s="54"/>
      <c r="N8" s="85" t="s">
        <v>213</v>
      </c>
      <c r="O8" s="105">
        <f>O5/(O6+O7)</f>
        <v>1.9582343378767037E-2</v>
      </c>
      <c r="P8" s="54"/>
    </row>
    <row r="9" spans="1:16" ht="22" customHeight="1" x14ac:dyDescent="0.2">
      <c r="A9" s="73"/>
      <c r="B9" s="93">
        <v>2019</v>
      </c>
      <c r="C9" s="93">
        <v>2020</v>
      </c>
      <c r="D9" s="93">
        <v>2021</v>
      </c>
      <c r="E9" s="93">
        <v>2022</v>
      </c>
      <c r="F9" s="94">
        <v>2023</v>
      </c>
      <c r="G9" s="95">
        <v>2024</v>
      </c>
      <c r="H9" s="95">
        <v>2025</v>
      </c>
      <c r="I9" s="95">
        <v>2026</v>
      </c>
      <c r="J9" s="95">
        <v>2027</v>
      </c>
      <c r="K9" s="74"/>
      <c r="L9" s="75"/>
      <c r="M9" s="75"/>
      <c r="N9" s="84" t="s">
        <v>228</v>
      </c>
      <c r="O9" s="104">
        <f>Financials!O25</f>
        <v>425412000</v>
      </c>
      <c r="P9" s="54"/>
    </row>
    <row r="10" spans="1:16" ht="22" customHeight="1" x14ac:dyDescent="0.2">
      <c r="A10" s="113" t="s">
        <v>229</v>
      </c>
      <c r="B10" s="76">
        <v>4109111000</v>
      </c>
      <c r="C10" s="76">
        <v>4015129000</v>
      </c>
      <c r="D10" s="76">
        <v>5256328000</v>
      </c>
      <c r="E10" s="76">
        <v>6260077000</v>
      </c>
      <c r="F10" s="77">
        <v>5830000000</v>
      </c>
      <c r="G10" s="76">
        <v>6488000000</v>
      </c>
      <c r="H10" s="76">
        <v>7157000000</v>
      </c>
      <c r="I10" s="76">
        <v>7891000000</v>
      </c>
      <c r="J10" s="76">
        <v>8562000000</v>
      </c>
      <c r="K10" s="102" t="s">
        <v>230</v>
      </c>
      <c r="N10" s="84" t="s">
        <v>231</v>
      </c>
      <c r="O10" s="104">
        <f>Financials!O24</f>
        <v>1704142000</v>
      </c>
      <c r="P10" s="54"/>
    </row>
    <row r="11" spans="1:16" ht="22" customHeight="1" x14ac:dyDescent="0.2">
      <c r="A11" s="114"/>
      <c r="B11" s="78"/>
      <c r="C11" s="78">
        <f t="shared" ref="C11:J11" si="0">(C10/B10)-1</f>
        <v>-2.2871613835693361E-2</v>
      </c>
      <c r="D11" s="78">
        <f t="shared" si="0"/>
        <v>0.30913054101126014</v>
      </c>
      <c r="E11" s="78">
        <f t="shared" si="0"/>
        <v>0.1909601151221918</v>
      </c>
      <c r="F11" s="79">
        <f t="shared" si="0"/>
        <v>-6.8701551115106119E-2</v>
      </c>
      <c r="G11" s="78">
        <f t="shared" si="0"/>
        <v>0.1128644939965695</v>
      </c>
      <c r="H11" s="78">
        <f t="shared" si="0"/>
        <v>0.1031134401972873</v>
      </c>
      <c r="I11" s="78">
        <f t="shared" si="0"/>
        <v>0.10255693726421677</v>
      </c>
      <c r="J11" s="78">
        <f t="shared" si="0"/>
        <v>8.503358256241289E-2</v>
      </c>
      <c r="K11" s="79">
        <f>SUM(F11:J11)/5</f>
        <v>6.6973380581076075E-2</v>
      </c>
      <c r="L11" s="75"/>
      <c r="M11" s="75"/>
      <c r="N11" s="84" t="s">
        <v>232</v>
      </c>
      <c r="O11" s="106">
        <f>O9/O10</f>
        <v>0.24963412673357033</v>
      </c>
      <c r="P11" s="54"/>
    </row>
    <row r="12" spans="1:16" ht="22" customHeight="1" x14ac:dyDescent="0.2">
      <c r="A12" s="113" t="s">
        <v>142</v>
      </c>
      <c r="B12" s="76">
        <v>615518000</v>
      </c>
      <c r="C12" s="76">
        <v>672682000</v>
      </c>
      <c r="D12" s="76">
        <v>1034375000</v>
      </c>
      <c r="E12" s="76">
        <v>1377159000</v>
      </c>
      <c r="F12" s="77">
        <v>1184000000</v>
      </c>
      <c r="G12" s="76">
        <v>1401000000</v>
      </c>
      <c r="H12" s="76">
        <v>1645000000</v>
      </c>
      <c r="I12" s="76">
        <v>1777000000</v>
      </c>
      <c r="J12" s="76">
        <v>1912000000</v>
      </c>
      <c r="K12" s="102" t="s">
        <v>233</v>
      </c>
      <c r="L12" s="75"/>
      <c r="M12" s="75"/>
      <c r="N12" s="86" t="s">
        <v>234</v>
      </c>
      <c r="O12" s="107">
        <f>O8*(1-O11)</f>
        <v>1.4693922190011614E-2</v>
      </c>
      <c r="P12" s="54"/>
    </row>
    <row r="13" spans="1:16" ht="22" customHeight="1" x14ac:dyDescent="0.2">
      <c r="A13" s="114"/>
      <c r="B13" s="78"/>
      <c r="C13" s="78">
        <f t="shared" ref="C13:J13" si="1">(C12/B12)-1</f>
        <v>9.2871370130524156E-2</v>
      </c>
      <c r="D13" s="78">
        <f t="shared" si="1"/>
        <v>0.53768794170202261</v>
      </c>
      <c r="E13" s="78">
        <f t="shared" si="1"/>
        <v>0.33139238670694859</v>
      </c>
      <c r="F13" s="79">
        <f t="shared" si="1"/>
        <v>-0.14025904053199378</v>
      </c>
      <c r="G13" s="78">
        <f t="shared" si="1"/>
        <v>0.18327702702702697</v>
      </c>
      <c r="H13" s="78">
        <f t="shared" si="1"/>
        <v>0.17416131334760876</v>
      </c>
      <c r="I13" s="78">
        <f t="shared" si="1"/>
        <v>8.0243161094224913E-2</v>
      </c>
      <c r="J13" s="78">
        <f t="shared" si="1"/>
        <v>7.5970737197524008E-2</v>
      </c>
      <c r="K13" s="79">
        <f>SUM(F13:J13)/5</f>
        <v>7.4678639626878179E-2</v>
      </c>
      <c r="L13" s="75"/>
      <c r="M13" s="75"/>
      <c r="N13" s="119" t="s">
        <v>235</v>
      </c>
      <c r="O13" s="120"/>
      <c r="P13" s="54"/>
    </row>
    <row r="14" spans="1:16" ht="22" customHeight="1" x14ac:dyDescent="0.2">
      <c r="A14" s="113" t="s">
        <v>185</v>
      </c>
      <c r="B14" s="76">
        <v>504844632</v>
      </c>
      <c r="C14" s="76">
        <v>710019188</v>
      </c>
      <c r="D14" s="76">
        <v>663815615</v>
      </c>
      <c r="E14" s="76">
        <v>917602980</v>
      </c>
      <c r="F14" s="77">
        <v>834400000</v>
      </c>
      <c r="G14" s="76">
        <v>1006000000</v>
      </c>
      <c r="H14" s="76">
        <v>1178000000</v>
      </c>
      <c r="I14" s="76">
        <v>1251000000</v>
      </c>
      <c r="J14" s="76">
        <v>1314000000</v>
      </c>
      <c r="K14" s="102" t="s">
        <v>236</v>
      </c>
      <c r="L14" s="75"/>
      <c r="M14" s="75"/>
      <c r="N14" s="84" t="s">
        <v>237</v>
      </c>
      <c r="O14" s="106">
        <f>'[1]US Treasury Bonds'!$C$8</f>
        <v>4.7160000000000001E-2</v>
      </c>
      <c r="P14" s="54"/>
    </row>
    <row r="15" spans="1:16" ht="22" customHeight="1" x14ac:dyDescent="0.2">
      <c r="A15" s="115"/>
      <c r="B15" s="78"/>
      <c r="C15" s="78">
        <f t="shared" ref="C15:J15" si="2">(C14/B14)-1</f>
        <v>0.40641128575969487</v>
      </c>
      <c r="D15" s="78">
        <f t="shared" si="2"/>
        <v>-6.507369629002191E-2</v>
      </c>
      <c r="E15" s="78">
        <f t="shared" si="2"/>
        <v>0.38231605172469463</v>
      </c>
      <c r="F15" s="79">
        <f t="shared" si="2"/>
        <v>-9.0674269606229929E-2</v>
      </c>
      <c r="G15" s="78">
        <f t="shared" si="2"/>
        <v>0.20565675934803451</v>
      </c>
      <c r="H15" s="78">
        <f t="shared" si="2"/>
        <v>0.17097415506958247</v>
      </c>
      <c r="I15" s="78">
        <f t="shared" si="2"/>
        <v>6.1969439728353226E-2</v>
      </c>
      <c r="J15" s="78">
        <f t="shared" si="2"/>
        <v>5.0359712230215736E-2</v>
      </c>
      <c r="K15" s="79">
        <f>SUM(F15:J15)/5</f>
        <v>7.9657159353991203E-2</v>
      </c>
      <c r="L15" s="75"/>
      <c r="M15" s="75"/>
      <c r="N15" s="84" t="s">
        <v>238</v>
      </c>
      <c r="O15" s="108" cm="1">
        <f t="array" ref="O15">_FV(A1,"Beta")</f>
        <v>1.0633999999999999</v>
      </c>
      <c r="P15" s="54"/>
    </row>
    <row r="16" spans="1:16" ht="22" customHeight="1" x14ac:dyDescent="0.2">
      <c r="A16" s="113" t="s">
        <v>196</v>
      </c>
      <c r="B16" s="82">
        <v>0.19644436780425098</v>
      </c>
      <c r="C16" s="82">
        <v>0.19851664473286734</v>
      </c>
      <c r="D16" s="82">
        <v>0.27612947826763329</v>
      </c>
      <c r="E16" s="82">
        <v>0.36784389588795807</v>
      </c>
      <c r="F16" s="80"/>
      <c r="G16" s="81"/>
      <c r="H16" s="81"/>
      <c r="I16" s="81"/>
      <c r="J16" s="81"/>
      <c r="K16" s="80"/>
      <c r="L16" s="75"/>
      <c r="M16" s="75"/>
      <c r="N16" s="84" t="s">
        <v>239</v>
      </c>
      <c r="O16" s="106">
        <v>8.4000000000000005E-2</v>
      </c>
      <c r="P16" s="54"/>
    </row>
    <row r="17" spans="1:16" ht="22" customHeight="1" x14ac:dyDescent="0.2">
      <c r="A17" s="75"/>
      <c r="B17" s="78"/>
      <c r="C17" s="78"/>
      <c r="D17" s="78"/>
      <c r="E17" s="78"/>
      <c r="F17" s="75"/>
      <c r="G17" s="75"/>
      <c r="H17" s="75"/>
      <c r="I17" s="75"/>
      <c r="J17" s="75"/>
      <c r="K17" s="75"/>
      <c r="L17" s="75"/>
      <c r="M17" s="75"/>
      <c r="N17" s="92" t="s">
        <v>235</v>
      </c>
      <c r="O17" s="109">
        <f>(O14)+((O15)*(O16-O14))</f>
        <v>8.6335656000000011E-2</v>
      </c>
      <c r="P17" s="54"/>
    </row>
    <row r="18" spans="1:16" ht="22" customHeight="1" x14ac:dyDescent="0.2">
      <c r="A18" s="75"/>
      <c r="B18" s="75"/>
      <c r="C18" s="75"/>
      <c r="D18" s="75"/>
      <c r="E18" s="75"/>
      <c r="F18" s="75"/>
      <c r="G18" s="75"/>
      <c r="H18" s="75"/>
      <c r="I18" s="75"/>
      <c r="J18" s="75"/>
      <c r="K18" s="75"/>
      <c r="L18" s="75"/>
      <c r="M18" s="75"/>
      <c r="N18" s="119" t="s">
        <v>240</v>
      </c>
      <c r="O18" s="120"/>
      <c r="P18" s="54"/>
    </row>
    <row r="19" spans="1:16" ht="22" customHeight="1" x14ac:dyDescent="0.2">
      <c r="A19" s="75"/>
      <c r="B19" s="75"/>
      <c r="C19" s="75"/>
      <c r="D19" s="75"/>
      <c r="E19" s="75"/>
      <c r="F19" s="75"/>
      <c r="G19" s="75"/>
      <c r="H19" s="75"/>
      <c r="I19" s="75"/>
      <c r="J19" s="75"/>
      <c r="K19" s="75"/>
      <c r="L19" s="75"/>
      <c r="M19" s="75"/>
      <c r="N19" s="84" t="s">
        <v>222</v>
      </c>
      <c r="O19" s="110">
        <f>O6+O7</f>
        <v>79970000</v>
      </c>
      <c r="P19" s="54"/>
    </row>
    <row r="20" spans="1:16" ht="22" customHeight="1" x14ac:dyDescent="0.2">
      <c r="A20" s="75"/>
      <c r="B20" s="75"/>
      <c r="C20" s="75"/>
      <c r="D20" s="75"/>
      <c r="E20" s="75"/>
      <c r="F20" s="75"/>
      <c r="G20" s="75"/>
      <c r="H20" s="75"/>
      <c r="I20" s="75"/>
      <c r="J20" s="75"/>
      <c r="K20" s="75"/>
      <c r="L20" s="75"/>
      <c r="M20" s="75"/>
      <c r="N20" s="84" t="s">
        <v>241</v>
      </c>
      <c r="O20" s="110" cm="1">
        <f t="array" ref="O20">_FV(A1,"Market cap",TRUE)</f>
        <v>45173610000</v>
      </c>
      <c r="P20" s="54"/>
    </row>
    <row r="21" spans="1:16" ht="22" customHeight="1" x14ac:dyDescent="0.2">
      <c r="A21" s="75"/>
      <c r="B21" s="75"/>
      <c r="C21" s="75"/>
      <c r="D21" s="75"/>
      <c r="E21" s="75"/>
      <c r="F21" s="75"/>
      <c r="G21" s="75"/>
      <c r="H21" s="75"/>
      <c r="I21" s="75"/>
      <c r="J21" s="75"/>
      <c r="K21" s="75"/>
      <c r="M21" s="75"/>
      <c r="N21" s="84" t="s">
        <v>242</v>
      </c>
      <c r="O21" s="110">
        <f>O19+O20</f>
        <v>45253580000</v>
      </c>
      <c r="P21" s="54"/>
    </row>
    <row r="22" spans="1:16" ht="22" customHeight="1" x14ac:dyDescent="0.2">
      <c r="A22" s="75"/>
      <c r="B22" s="75"/>
      <c r="C22" s="75"/>
      <c r="D22" s="75"/>
      <c r="E22" s="75"/>
      <c r="F22" s="75"/>
      <c r="G22" s="75"/>
      <c r="H22" s="75"/>
      <c r="I22" s="75"/>
      <c r="J22" s="75"/>
      <c r="K22" s="75"/>
      <c r="L22" s="75"/>
      <c r="M22" s="75"/>
      <c r="N22" s="85" t="s">
        <v>243</v>
      </c>
      <c r="O22" s="111">
        <f>(O19/O21)</f>
        <v>1.7671530075631585E-3</v>
      </c>
      <c r="P22" s="54"/>
    </row>
    <row r="23" spans="1:16" ht="22" customHeight="1" x14ac:dyDescent="0.2">
      <c r="A23" s="75"/>
      <c r="B23" s="75"/>
      <c r="C23" s="75"/>
      <c r="D23" s="75"/>
      <c r="E23" s="75"/>
      <c r="F23" s="75"/>
      <c r="G23" s="75"/>
      <c r="H23" s="75"/>
      <c r="I23" s="75"/>
      <c r="J23" s="75"/>
      <c r="K23" s="75"/>
      <c r="L23" s="75"/>
      <c r="M23" s="75"/>
      <c r="N23" s="92" t="s">
        <v>244</v>
      </c>
      <c r="O23" s="112">
        <f>O20/O21</f>
        <v>0.99823284699243686</v>
      </c>
      <c r="P23" s="54"/>
    </row>
    <row r="24" spans="1:16" ht="22" customHeight="1" x14ac:dyDescent="0.2">
      <c r="A24" s="75"/>
      <c r="B24" s="75"/>
      <c r="C24" s="75"/>
      <c r="D24" s="75"/>
      <c r="E24" s="75"/>
      <c r="F24" s="75"/>
      <c r="G24" s="75"/>
      <c r="H24" s="75"/>
      <c r="I24" s="75"/>
      <c r="J24" s="75"/>
      <c r="K24" s="75"/>
      <c r="L24" s="75"/>
      <c r="M24" s="75"/>
      <c r="N24" s="121" t="s">
        <v>245</v>
      </c>
      <c r="O24" s="122"/>
      <c r="P24" s="54"/>
    </row>
    <row r="25" spans="1:16" ht="22" customHeight="1" x14ac:dyDescent="0.2">
      <c r="A25" s="75"/>
      <c r="B25" s="75"/>
      <c r="C25" s="75"/>
      <c r="D25" s="75"/>
      <c r="E25" s="75"/>
      <c r="F25" s="75"/>
      <c r="G25" s="75"/>
      <c r="H25" s="75"/>
      <c r="I25" s="75"/>
      <c r="J25" s="75"/>
      <c r="K25" s="75"/>
      <c r="L25" s="75"/>
      <c r="M25" s="75"/>
      <c r="N25" s="123">
        <f>(O22*O12)+(O23*O17)</f>
        <v>8.6209054094630644E-2</v>
      </c>
      <c r="O25" s="124"/>
      <c r="P25" s="54"/>
    </row>
    <row r="26" spans="1:16" ht="22" customHeight="1" x14ac:dyDescent="0.2">
      <c r="A26" s="75"/>
      <c r="B26" s="75"/>
      <c r="C26" s="75"/>
      <c r="D26" s="75"/>
      <c r="E26" s="75"/>
      <c r="F26" s="75"/>
      <c r="G26" s="75"/>
      <c r="H26" s="75"/>
      <c r="I26" s="75"/>
      <c r="J26" s="75"/>
      <c r="K26" s="75"/>
      <c r="L26" s="75"/>
      <c r="M26" s="75"/>
      <c r="N26" s="75"/>
      <c r="O26" s="54"/>
      <c r="P26" s="54"/>
    </row>
    <row r="27" spans="1:16" ht="22" customHeight="1" x14ac:dyDescent="0.2">
      <c r="A27" s="75"/>
      <c r="B27" s="75"/>
      <c r="C27" s="75"/>
      <c r="D27" s="75"/>
      <c r="E27" s="75"/>
      <c r="F27" s="75"/>
      <c r="G27" s="75"/>
      <c r="H27" s="75"/>
      <c r="I27" s="75"/>
      <c r="J27" s="75"/>
      <c r="K27" s="75"/>
      <c r="L27" s="75"/>
      <c r="M27" s="75"/>
      <c r="N27" s="75"/>
      <c r="O27" s="54"/>
      <c r="P27" s="54"/>
    </row>
    <row r="28" spans="1:16" ht="22" customHeight="1" x14ac:dyDescent="0.2">
      <c r="A28" s="75"/>
      <c r="B28" s="75"/>
      <c r="C28" s="75"/>
      <c r="D28" s="75"/>
      <c r="E28" s="75"/>
      <c r="F28" s="75"/>
      <c r="G28" s="75"/>
      <c r="H28" s="75"/>
      <c r="I28" s="75"/>
      <c r="J28" s="75"/>
      <c r="K28" s="75"/>
      <c r="L28" s="75"/>
      <c r="M28" s="75"/>
      <c r="N28" s="75"/>
      <c r="O28" s="54"/>
      <c r="P28" s="54"/>
    </row>
    <row r="29" spans="1:16" ht="22" customHeight="1" x14ac:dyDescent="0.2">
      <c r="A29" s="75"/>
      <c r="B29" s="75"/>
      <c r="C29" s="75"/>
      <c r="D29" s="75"/>
      <c r="E29" s="75"/>
      <c r="F29" s="75"/>
      <c r="G29" s="75"/>
      <c r="H29" s="75"/>
      <c r="I29" s="75"/>
      <c r="J29" s="75"/>
      <c r="K29" s="75"/>
      <c r="L29" s="75"/>
      <c r="M29" s="75"/>
      <c r="N29" s="75"/>
      <c r="O29" s="54"/>
      <c r="P29" s="54"/>
    </row>
    <row r="30" spans="1:16" ht="22" customHeight="1" x14ac:dyDescent="0.2">
      <c r="A30" s="75"/>
      <c r="B30" s="75"/>
      <c r="C30" s="75"/>
      <c r="D30" s="75"/>
      <c r="E30" s="75"/>
      <c r="F30" s="75"/>
      <c r="G30" s="75"/>
      <c r="H30" s="75"/>
      <c r="I30" s="75"/>
      <c r="J30" s="75"/>
      <c r="K30" s="75"/>
      <c r="L30" s="75"/>
      <c r="M30" s="75"/>
      <c r="N30" s="75"/>
      <c r="O30" s="54"/>
      <c r="P30" s="54"/>
    </row>
    <row r="31" spans="1:16" x14ac:dyDescent="0.2">
      <c r="A31" s="54"/>
      <c r="B31" s="54"/>
      <c r="C31" s="54"/>
      <c r="D31" s="54"/>
      <c r="E31" s="54"/>
      <c r="F31" s="54"/>
      <c r="G31" s="54"/>
      <c r="H31" s="54"/>
      <c r="I31" s="54"/>
      <c r="J31" s="54"/>
      <c r="K31" s="54"/>
      <c r="L31" s="54"/>
      <c r="M31" s="54"/>
      <c r="N31" s="54"/>
      <c r="O31" s="54"/>
      <c r="P31" s="54"/>
    </row>
    <row r="32" spans="1:16" x14ac:dyDescent="0.2">
      <c r="A32" s="54"/>
      <c r="B32" s="54"/>
      <c r="C32" s="54"/>
      <c r="D32" s="54"/>
      <c r="E32" s="54"/>
      <c r="F32" s="54"/>
      <c r="G32" s="54"/>
      <c r="H32" s="54"/>
      <c r="I32" s="54"/>
      <c r="J32" s="54"/>
      <c r="K32" s="54"/>
      <c r="L32" s="54"/>
      <c r="M32" s="54"/>
      <c r="N32" s="54"/>
      <c r="O32" s="54"/>
      <c r="P32" s="54"/>
    </row>
    <row r="33" spans="1:16" x14ac:dyDescent="0.2">
      <c r="A33" s="75"/>
      <c r="B33" s="75"/>
      <c r="C33" s="75"/>
      <c r="D33" s="75"/>
      <c r="E33" s="75"/>
      <c r="F33" s="75"/>
      <c r="G33" s="75"/>
      <c r="H33" s="75"/>
      <c r="I33" s="75"/>
      <c r="J33" s="75"/>
      <c r="K33" s="75"/>
      <c r="L33" s="75"/>
      <c r="M33" s="75"/>
      <c r="N33" s="75"/>
      <c r="O33" s="75"/>
      <c r="P33" s="75"/>
    </row>
    <row r="34" spans="1:16" x14ac:dyDescent="0.2">
      <c r="A34" s="75"/>
      <c r="B34" s="75"/>
      <c r="C34" s="75"/>
      <c r="D34" s="75"/>
      <c r="E34" s="75"/>
      <c r="F34" s="75"/>
      <c r="G34" s="75"/>
      <c r="H34" s="75"/>
      <c r="I34" s="75"/>
      <c r="J34" s="75"/>
      <c r="K34" s="75"/>
      <c r="L34" s="75"/>
      <c r="M34" s="75"/>
      <c r="N34" s="75"/>
      <c r="O34" s="75"/>
      <c r="P34" s="75"/>
    </row>
    <row r="35" spans="1:16" x14ac:dyDescent="0.2">
      <c r="A35" s="75"/>
      <c r="B35" s="75"/>
      <c r="C35" s="75"/>
      <c r="D35" s="75"/>
      <c r="E35" s="75"/>
      <c r="F35" s="75"/>
      <c r="G35" s="75"/>
      <c r="H35" s="75"/>
      <c r="I35" s="75"/>
      <c r="J35" s="75"/>
      <c r="K35" s="75"/>
      <c r="L35" s="75"/>
      <c r="M35" s="75"/>
      <c r="N35" s="75"/>
      <c r="O35" s="75"/>
      <c r="P35" s="75"/>
    </row>
    <row r="36" spans="1:16" x14ac:dyDescent="0.2">
      <c r="A36" s="75"/>
      <c r="B36" s="75"/>
      <c r="C36" s="75"/>
      <c r="D36" s="75"/>
      <c r="E36" s="75"/>
      <c r="F36" s="75"/>
      <c r="G36" s="75"/>
      <c r="H36" s="75"/>
      <c r="I36" s="75"/>
      <c r="J36" s="75"/>
      <c r="K36" s="75"/>
      <c r="L36" s="75"/>
      <c r="M36" s="75"/>
      <c r="N36" s="75"/>
      <c r="O36" s="75"/>
      <c r="P36" s="75"/>
    </row>
    <row r="37" spans="1:16" x14ac:dyDescent="0.2">
      <c r="A37" s="75"/>
      <c r="B37" s="75"/>
      <c r="C37" s="75"/>
      <c r="D37" s="75"/>
      <c r="E37" s="75"/>
      <c r="F37" s="75"/>
      <c r="G37" s="75"/>
      <c r="H37" s="75"/>
      <c r="I37" s="75"/>
      <c r="J37" s="75"/>
      <c r="K37" s="75"/>
      <c r="L37" s="75"/>
      <c r="M37" s="75"/>
      <c r="N37" s="75"/>
      <c r="O37" s="75"/>
      <c r="P37" s="75"/>
    </row>
    <row r="38" spans="1:16" x14ac:dyDescent="0.2">
      <c r="A38" s="75"/>
      <c r="B38" s="75"/>
      <c r="C38" s="75"/>
      <c r="D38" s="75"/>
      <c r="E38" s="75"/>
      <c r="F38" s="75"/>
      <c r="G38" s="75"/>
      <c r="H38" s="75"/>
      <c r="I38" s="75"/>
      <c r="J38" s="75"/>
      <c r="K38" s="75"/>
      <c r="L38" s="75"/>
      <c r="M38" s="75"/>
      <c r="N38" s="75"/>
      <c r="O38" s="75"/>
      <c r="P38" s="75"/>
    </row>
    <row r="39" spans="1:16" x14ac:dyDescent="0.2">
      <c r="A39" s="75"/>
      <c r="B39" s="75"/>
      <c r="C39" s="75"/>
      <c r="D39" s="75"/>
      <c r="E39" s="75"/>
      <c r="F39" s="75"/>
      <c r="G39" s="75"/>
      <c r="H39" s="75"/>
      <c r="I39" s="75"/>
      <c r="J39" s="75"/>
      <c r="K39" s="75"/>
      <c r="L39" s="75"/>
      <c r="M39" s="75"/>
      <c r="N39" s="75"/>
      <c r="O39" s="75"/>
      <c r="P39" s="75"/>
    </row>
    <row r="40" spans="1:16" x14ac:dyDescent="0.2">
      <c r="A40" s="75"/>
      <c r="B40" s="75"/>
      <c r="C40" s="75"/>
      <c r="D40" s="75"/>
      <c r="E40" s="75"/>
      <c r="F40" s="75"/>
      <c r="G40" s="75"/>
      <c r="H40" s="75"/>
      <c r="I40" s="75"/>
      <c r="J40" s="75"/>
      <c r="K40" s="75"/>
      <c r="L40" s="75"/>
      <c r="M40" s="75"/>
      <c r="N40" s="75"/>
      <c r="O40" s="75"/>
      <c r="P40" s="75"/>
    </row>
    <row r="41" spans="1:16" x14ac:dyDescent="0.2">
      <c r="A41" s="75"/>
      <c r="B41" s="75"/>
      <c r="C41" s="75"/>
      <c r="D41" s="75"/>
      <c r="E41" s="75"/>
      <c r="F41" s="75"/>
      <c r="G41" s="75"/>
      <c r="H41" s="75"/>
      <c r="I41" s="75"/>
      <c r="J41" s="75"/>
      <c r="K41" s="75"/>
      <c r="L41" s="75"/>
      <c r="M41" s="75"/>
      <c r="N41" s="75"/>
      <c r="O41" s="75"/>
      <c r="P41" s="75"/>
    </row>
    <row r="42" spans="1:16" x14ac:dyDescent="0.2">
      <c r="A42" s="75"/>
      <c r="B42" s="75"/>
      <c r="C42" s="75"/>
      <c r="D42" s="75"/>
      <c r="E42" s="75"/>
      <c r="F42" s="75"/>
      <c r="G42" s="75"/>
      <c r="H42" s="75"/>
      <c r="I42" s="75"/>
      <c r="J42" s="75"/>
      <c r="K42" s="75"/>
      <c r="L42" s="75"/>
      <c r="M42" s="75"/>
      <c r="N42" s="75"/>
      <c r="O42" s="75"/>
      <c r="P42" s="75"/>
    </row>
    <row r="43" spans="1:16" x14ac:dyDescent="0.2">
      <c r="A43" s="75"/>
      <c r="B43" s="75"/>
      <c r="C43" s="75"/>
      <c r="D43" s="75"/>
      <c r="E43" s="75"/>
      <c r="F43" s="75"/>
      <c r="G43" s="75"/>
      <c r="H43" s="75"/>
      <c r="I43" s="75"/>
      <c r="J43" s="75"/>
      <c r="K43" s="75"/>
      <c r="L43" s="75"/>
      <c r="M43" s="75"/>
      <c r="N43" s="75"/>
      <c r="O43" s="75"/>
      <c r="P43" s="75"/>
    </row>
    <row r="44" spans="1:16" x14ac:dyDescent="0.2">
      <c r="A44" s="75"/>
      <c r="B44" s="75"/>
      <c r="C44" s="75"/>
      <c r="D44" s="75"/>
      <c r="E44" s="75"/>
      <c r="F44" s="75"/>
      <c r="G44" s="75"/>
      <c r="H44" s="75"/>
      <c r="I44" s="75"/>
      <c r="J44" s="75"/>
      <c r="K44" s="75"/>
      <c r="L44" s="75"/>
      <c r="M44" s="75"/>
      <c r="N44" s="75"/>
      <c r="O44" s="75"/>
      <c r="P44" s="75"/>
    </row>
    <row r="45" spans="1:16" x14ac:dyDescent="0.2">
      <c r="A45" s="75"/>
      <c r="B45" s="75"/>
      <c r="C45" s="75"/>
      <c r="D45" s="75"/>
      <c r="E45" s="75"/>
      <c r="F45" s="75"/>
      <c r="G45" s="75"/>
      <c r="H45" s="75"/>
      <c r="I45" s="75"/>
      <c r="J45" s="75"/>
      <c r="K45" s="75"/>
      <c r="L45" s="75"/>
      <c r="M45" s="75"/>
      <c r="N45" s="75"/>
      <c r="O45" s="75"/>
      <c r="P45" s="75"/>
    </row>
    <row r="46" spans="1:16" x14ac:dyDescent="0.2">
      <c r="A46" s="75"/>
      <c r="B46" s="75"/>
      <c r="C46" s="75"/>
      <c r="D46" s="75"/>
      <c r="E46" s="75"/>
      <c r="F46" s="75"/>
      <c r="G46" s="75"/>
      <c r="H46" s="75"/>
      <c r="I46" s="75"/>
      <c r="J46" s="75"/>
      <c r="K46" s="75"/>
      <c r="L46" s="75"/>
      <c r="M46" s="75"/>
      <c r="N46" s="75"/>
      <c r="O46" s="75"/>
      <c r="P46" s="75"/>
    </row>
    <row r="47" spans="1:16" x14ac:dyDescent="0.2">
      <c r="A47" s="75"/>
      <c r="B47" s="75"/>
      <c r="C47" s="75"/>
      <c r="D47" s="75"/>
      <c r="E47" s="75"/>
      <c r="F47" s="75"/>
      <c r="G47" s="75"/>
      <c r="H47" s="75"/>
      <c r="I47" s="75"/>
      <c r="J47" s="75"/>
      <c r="K47" s="75"/>
      <c r="L47" s="75"/>
      <c r="M47" s="75"/>
      <c r="N47" s="75"/>
      <c r="O47" s="75"/>
      <c r="P47" s="75"/>
    </row>
    <row r="48" spans="1:16" x14ac:dyDescent="0.2">
      <c r="A48" s="75"/>
      <c r="B48" s="75"/>
      <c r="C48" s="75"/>
      <c r="D48" s="75"/>
      <c r="E48" s="75"/>
      <c r="F48" s="75"/>
      <c r="G48" s="75"/>
      <c r="H48" s="75"/>
      <c r="I48" s="75"/>
      <c r="J48" s="75"/>
      <c r="K48" s="75"/>
      <c r="L48" s="75"/>
      <c r="M48" s="75"/>
      <c r="N48" s="75"/>
      <c r="O48" s="75"/>
      <c r="P48" s="75"/>
    </row>
    <row r="49" spans="1:16" x14ac:dyDescent="0.2">
      <c r="A49" s="75"/>
      <c r="B49" s="75"/>
      <c r="C49" s="75"/>
      <c r="D49" s="75"/>
      <c r="E49" s="75"/>
      <c r="F49" s="75"/>
      <c r="G49" s="75"/>
      <c r="H49" s="75"/>
      <c r="I49" s="75"/>
      <c r="J49" s="75"/>
      <c r="K49" s="75"/>
      <c r="L49" s="75"/>
      <c r="M49" s="75"/>
      <c r="N49" s="75"/>
      <c r="O49" s="75"/>
      <c r="P49" s="75"/>
    </row>
    <row r="50" spans="1:16" x14ac:dyDescent="0.2">
      <c r="A50" s="75"/>
      <c r="B50" s="75"/>
      <c r="C50" s="75"/>
      <c r="D50" s="75"/>
      <c r="E50" s="75"/>
      <c r="F50" s="75"/>
      <c r="G50" s="75"/>
      <c r="H50" s="75"/>
      <c r="I50" s="75"/>
      <c r="J50" s="75"/>
      <c r="K50" s="75"/>
      <c r="L50" s="75"/>
      <c r="M50" s="75"/>
      <c r="N50" s="75"/>
      <c r="O50" s="75"/>
      <c r="P50" s="75"/>
    </row>
    <row r="51" spans="1:16" x14ac:dyDescent="0.2">
      <c r="A51" s="75"/>
      <c r="B51" s="75"/>
      <c r="C51" s="75"/>
      <c r="D51" s="75"/>
      <c r="E51" s="75"/>
      <c r="F51" s="75"/>
      <c r="G51" s="75"/>
      <c r="H51" s="75"/>
      <c r="I51" s="75"/>
      <c r="J51" s="75"/>
      <c r="K51" s="75"/>
      <c r="L51" s="75"/>
      <c r="M51" s="75"/>
      <c r="N51" s="75"/>
      <c r="O51" s="75"/>
      <c r="P51" s="75"/>
    </row>
    <row r="52" spans="1:16" x14ac:dyDescent="0.2">
      <c r="A52" s="75"/>
      <c r="B52" s="75"/>
      <c r="C52" s="75"/>
      <c r="D52" s="75"/>
      <c r="E52" s="75"/>
      <c r="F52" s="75"/>
      <c r="G52" s="75"/>
      <c r="H52" s="75"/>
      <c r="I52" s="75"/>
      <c r="J52" s="75"/>
      <c r="K52" s="75"/>
      <c r="L52" s="75"/>
      <c r="M52" s="75"/>
      <c r="N52" s="75"/>
      <c r="O52" s="75"/>
      <c r="P52" s="75"/>
    </row>
    <row r="53" spans="1:16" x14ac:dyDescent="0.2">
      <c r="A53" s="75"/>
      <c r="B53" s="75"/>
      <c r="C53" s="75"/>
      <c r="D53" s="75"/>
      <c r="E53" s="75"/>
      <c r="F53" s="75"/>
      <c r="G53" s="75"/>
      <c r="H53" s="75"/>
      <c r="I53" s="75"/>
      <c r="J53" s="75"/>
      <c r="K53" s="75"/>
      <c r="L53" s="75"/>
      <c r="M53" s="75"/>
      <c r="N53" s="75"/>
      <c r="O53" s="75"/>
      <c r="P53" s="75"/>
    </row>
    <row r="54" spans="1:16" x14ac:dyDescent="0.2">
      <c r="A54" s="75"/>
      <c r="B54" s="75"/>
      <c r="C54" s="75"/>
      <c r="D54" s="75"/>
      <c r="E54" s="75"/>
      <c r="F54" s="75"/>
      <c r="G54" s="75"/>
      <c r="H54" s="75"/>
      <c r="I54" s="75"/>
      <c r="J54" s="75"/>
      <c r="K54" s="75"/>
      <c r="L54" s="75"/>
      <c r="M54" s="75"/>
      <c r="N54" s="75"/>
      <c r="O54" s="75"/>
      <c r="P54" s="75"/>
    </row>
    <row r="55" spans="1:16" x14ac:dyDescent="0.2">
      <c r="A55" s="75"/>
      <c r="B55" s="75"/>
      <c r="C55" s="75"/>
      <c r="D55" s="75"/>
      <c r="E55" s="75"/>
      <c r="F55" s="75"/>
      <c r="G55" s="75"/>
      <c r="H55" s="75"/>
      <c r="I55" s="75"/>
      <c r="J55" s="75"/>
      <c r="K55" s="75"/>
      <c r="L55" s="75"/>
      <c r="M55" s="75"/>
      <c r="N55" s="75"/>
      <c r="O55" s="75"/>
      <c r="P55" s="75"/>
    </row>
    <row r="56" spans="1:16" x14ac:dyDescent="0.2">
      <c r="A56" s="75"/>
      <c r="B56" s="75"/>
      <c r="C56" s="75"/>
      <c r="D56" s="75"/>
      <c r="E56" s="75"/>
      <c r="F56" s="75"/>
      <c r="G56" s="75"/>
      <c r="H56" s="75"/>
      <c r="I56" s="75"/>
      <c r="J56" s="75"/>
      <c r="K56" s="75"/>
      <c r="L56" s="75"/>
      <c r="M56" s="75"/>
      <c r="N56" s="75"/>
      <c r="O56" s="75"/>
      <c r="P56" s="75"/>
    </row>
    <row r="57" spans="1:16" x14ac:dyDescent="0.2">
      <c r="A57" s="75"/>
      <c r="B57" s="75"/>
      <c r="C57" s="75"/>
      <c r="D57" s="75"/>
      <c r="E57" s="75"/>
      <c r="F57" s="75"/>
      <c r="G57" s="75"/>
      <c r="H57" s="75"/>
      <c r="I57" s="75"/>
      <c r="J57" s="75"/>
      <c r="K57" s="75"/>
      <c r="L57" s="75"/>
      <c r="M57" s="75"/>
      <c r="N57" s="75"/>
      <c r="O57" s="75"/>
      <c r="P57" s="75"/>
    </row>
    <row r="58" spans="1:16" x14ac:dyDescent="0.2">
      <c r="A58" s="75"/>
      <c r="B58" s="75"/>
      <c r="C58" s="75"/>
      <c r="D58" s="75"/>
      <c r="E58" s="75"/>
      <c r="F58" s="75"/>
      <c r="G58" s="75"/>
      <c r="H58" s="75"/>
      <c r="I58" s="75"/>
      <c r="J58" s="75"/>
      <c r="K58" s="75"/>
      <c r="L58" s="75"/>
      <c r="M58" s="75"/>
      <c r="N58" s="75"/>
      <c r="O58" s="75"/>
      <c r="P58" s="75"/>
    </row>
    <row r="59" spans="1:16" x14ac:dyDescent="0.2">
      <c r="A59" s="75"/>
      <c r="B59" s="75"/>
      <c r="C59" s="75"/>
      <c r="D59" s="75"/>
      <c r="E59" s="75"/>
      <c r="F59" s="75"/>
      <c r="G59" s="75"/>
      <c r="H59" s="75"/>
      <c r="I59" s="75"/>
      <c r="J59" s="75"/>
      <c r="K59" s="75"/>
      <c r="L59" s="75"/>
      <c r="M59" s="75"/>
      <c r="N59" s="75"/>
      <c r="O59" s="75"/>
      <c r="P59" s="75"/>
    </row>
    <row r="60" spans="1:16" x14ac:dyDescent="0.2">
      <c r="A60" s="75"/>
      <c r="B60" s="75"/>
      <c r="C60" s="75"/>
      <c r="D60" s="75"/>
      <c r="E60" s="75"/>
      <c r="F60" s="75"/>
      <c r="G60" s="75"/>
      <c r="H60" s="75"/>
      <c r="I60" s="75"/>
      <c r="J60" s="75"/>
      <c r="K60" s="75"/>
      <c r="L60" s="75"/>
      <c r="M60" s="75"/>
      <c r="N60" s="75"/>
      <c r="O60" s="75"/>
      <c r="P60" s="75"/>
    </row>
    <row r="61" spans="1:16" x14ac:dyDescent="0.2">
      <c r="A61" s="75"/>
      <c r="B61" s="75"/>
      <c r="C61" s="75"/>
      <c r="D61" s="75"/>
      <c r="E61" s="75"/>
      <c r="F61" s="75"/>
      <c r="G61" s="75"/>
      <c r="H61" s="75"/>
      <c r="I61" s="75"/>
      <c r="J61" s="75"/>
      <c r="K61" s="75"/>
      <c r="L61" s="75"/>
      <c r="M61" s="75"/>
      <c r="N61" s="75"/>
      <c r="O61" s="75"/>
      <c r="P61" s="75"/>
    </row>
    <row r="62" spans="1:16" x14ac:dyDescent="0.2">
      <c r="O62" s="54"/>
      <c r="P62" s="54"/>
    </row>
    <row r="63" spans="1:16" x14ac:dyDescent="0.2">
      <c r="O63" s="54"/>
      <c r="P63" s="54"/>
    </row>
    <row r="64" spans="1:16" x14ac:dyDescent="0.2">
      <c r="O64" s="54"/>
      <c r="P64" s="54"/>
    </row>
    <row r="65" spans="15:16" x14ac:dyDescent="0.2">
      <c r="O65" s="54"/>
      <c r="P65" s="54"/>
    </row>
    <row r="66" spans="15:16" x14ac:dyDescent="0.2">
      <c r="O66" s="54"/>
      <c r="P66" s="54"/>
    </row>
    <row r="67" spans="15:16" x14ac:dyDescent="0.2">
      <c r="O67" s="54"/>
      <c r="P67" s="54"/>
    </row>
    <row r="68" spans="15:16" x14ac:dyDescent="0.2">
      <c r="O68" s="54"/>
      <c r="P68" s="54"/>
    </row>
    <row r="69" spans="15:16" x14ac:dyDescent="0.2">
      <c r="O69" s="54"/>
      <c r="P69" s="54"/>
    </row>
    <row r="70" spans="15:16" x14ac:dyDescent="0.2">
      <c r="O70" s="54"/>
      <c r="P70" s="54"/>
    </row>
    <row r="71" spans="15:16" x14ac:dyDescent="0.2">
      <c r="O71" s="54"/>
      <c r="P71" s="54"/>
    </row>
    <row r="72" spans="15:16" x14ac:dyDescent="0.2">
      <c r="O72" s="54"/>
      <c r="P72" s="54"/>
    </row>
    <row r="73" spans="15:16" x14ac:dyDescent="0.2">
      <c r="O73" s="54"/>
      <c r="P73" s="54"/>
    </row>
    <row r="74" spans="15:16" x14ac:dyDescent="0.2">
      <c r="O74" s="54"/>
      <c r="P74" s="54"/>
    </row>
    <row r="75" spans="15:16" x14ac:dyDescent="0.2">
      <c r="O75" s="54"/>
      <c r="P75" s="54"/>
    </row>
    <row r="76" spans="15:16" x14ac:dyDescent="0.2">
      <c r="O76" s="54"/>
      <c r="P76" s="54"/>
    </row>
    <row r="77" spans="15:16" x14ac:dyDescent="0.2">
      <c r="O77" s="54"/>
      <c r="P77" s="54"/>
    </row>
    <row r="78" spans="15:16" x14ac:dyDescent="0.2">
      <c r="O78" s="54"/>
      <c r="P78" s="54"/>
    </row>
    <row r="79" spans="15:16" x14ac:dyDescent="0.2">
      <c r="O79" s="54"/>
      <c r="P79" s="54"/>
    </row>
    <row r="80" spans="15:16" x14ac:dyDescent="0.2">
      <c r="O80" s="54"/>
      <c r="P80" s="54"/>
    </row>
    <row r="81" spans="15:16" x14ac:dyDescent="0.2">
      <c r="O81" s="54"/>
      <c r="P81" s="54"/>
    </row>
    <row r="82" spans="15:16" x14ac:dyDescent="0.2">
      <c r="O82" s="54"/>
      <c r="P82" s="54"/>
    </row>
    <row r="83" spans="15:16" x14ac:dyDescent="0.2">
      <c r="O83" s="54"/>
      <c r="P83" s="54"/>
    </row>
    <row r="84" spans="15:16" x14ac:dyDescent="0.2">
      <c r="O84" s="54"/>
      <c r="P84" s="54"/>
    </row>
    <row r="85" spans="15:16" x14ac:dyDescent="0.2">
      <c r="O85" s="54"/>
      <c r="P85" s="54"/>
    </row>
    <row r="86" spans="15:16" x14ac:dyDescent="0.2">
      <c r="O86" s="54"/>
      <c r="P86" s="54"/>
    </row>
    <row r="87" spans="15:16" x14ac:dyDescent="0.2">
      <c r="O87" s="54"/>
      <c r="P87" s="54"/>
    </row>
    <row r="88" spans="15:16" x14ac:dyDescent="0.2">
      <c r="O88" s="54"/>
      <c r="P88" s="54"/>
    </row>
    <row r="89" spans="15:16" x14ac:dyDescent="0.2">
      <c r="O89" s="54"/>
      <c r="P89" s="54"/>
    </row>
    <row r="90" spans="15:16" x14ac:dyDescent="0.2">
      <c r="O90" s="54"/>
      <c r="P90" s="54"/>
    </row>
    <row r="91" spans="15:16" x14ac:dyDescent="0.2">
      <c r="O91" s="54"/>
      <c r="P91" s="54"/>
    </row>
    <row r="92" spans="15:16" x14ac:dyDescent="0.2">
      <c r="O92" s="54"/>
      <c r="P92" s="54"/>
    </row>
    <row r="93" spans="15:16" x14ac:dyDescent="0.2">
      <c r="O93" s="54"/>
      <c r="P93" s="54"/>
    </row>
    <row r="94" spans="15:16" x14ac:dyDescent="0.2">
      <c r="O94" s="54"/>
      <c r="P94" s="54"/>
    </row>
    <row r="95" spans="15:16" x14ac:dyDescent="0.2">
      <c r="O95" s="54"/>
      <c r="P95" s="54"/>
    </row>
    <row r="96" spans="15:16" x14ac:dyDescent="0.2">
      <c r="O96" s="54"/>
      <c r="P96" s="54"/>
    </row>
    <row r="97" spans="15:16" x14ac:dyDescent="0.2">
      <c r="O97" s="54"/>
      <c r="P97" s="54"/>
    </row>
    <row r="98" spans="15:16" x14ac:dyDescent="0.2">
      <c r="O98" s="54"/>
      <c r="P98" s="54"/>
    </row>
    <row r="99" spans="15:16" x14ac:dyDescent="0.2">
      <c r="O99" s="54"/>
      <c r="P99" s="54"/>
    </row>
    <row r="100" spans="15:16" x14ac:dyDescent="0.2">
      <c r="O100" s="54"/>
      <c r="P100" s="54"/>
    </row>
    <row r="101" spans="15:16" x14ac:dyDescent="0.2">
      <c r="O101" s="54"/>
      <c r="P101" s="54"/>
    </row>
    <row r="102" spans="15:16" x14ac:dyDescent="0.2">
      <c r="O102" s="54"/>
      <c r="P102" s="54"/>
    </row>
    <row r="103" spans="15:16" x14ac:dyDescent="0.2">
      <c r="O103" s="54"/>
      <c r="P103" s="54"/>
    </row>
    <row r="104" spans="15:16" x14ac:dyDescent="0.2">
      <c r="O104" s="54"/>
      <c r="P104" s="54"/>
    </row>
    <row r="105" spans="15:16" x14ac:dyDescent="0.2">
      <c r="O105" s="54"/>
      <c r="P105" s="54"/>
    </row>
    <row r="106" spans="15:16" x14ac:dyDescent="0.2">
      <c r="O106" s="54"/>
      <c r="P106" s="54"/>
    </row>
    <row r="107" spans="15:16" x14ac:dyDescent="0.2">
      <c r="O107" s="54"/>
      <c r="P107" s="54"/>
    </row>
    <row r="108" spans="15:16" x14ac:dyDescent="0.2">
      <c r="O108" s="54"/>
      <c r="P108" s="54"/>
    </row>
    <row r="109" spans="15:16" x14ac:dyDescent="0.2">
      <c r="O109" s="54"/>
      <c r="P109" s="54"/>
    </row>
    <row r="110" spans="15:16" x14ac:dyDescent="0.2">
      <c r="O110" s="54"/>
      <c r="P110" s="54"/>
    </row>
  </sheetData>
  <mergeCells count="7">
    <mergeCell ref="N24:O24"/>
    <mergeCell ref="N25:O25"/>
    <mergeCell ref="A1:XFD2"/>
    <mergeCell ref="N3:O3"/>
    <mergeCell ref="N4:O4"/>
    <mergeCell ref="N13:O13"/>
    <mergeCell ref="N18:O18"/>
  </mergeCells>
  <hyperlinks>
    <hyperlink ref="F9" r:id="rId1" display="https://finbox.com/NASDAQGS:ODFL/explorer/revenue_proj" xr:uid="{8F785A48-47AA-9C46-A113-FB5D7A0A5C95}"/>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2023-10-09T11:32:52Z</dcterms:modified>
</cp:coreProperties>
</file>