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E42ED54-47CD-DB45-9DF0-D2E7135DCA0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definedNames>
    <definedName name="_xlchart.v1.0" hidden="1">'Sheet 1'!$A$1</definedName>
    <definedName name="_xlchart.v1.1" hidden="1">'Sheet 1'!$A$107</definedName>
    <definedName name="_xlchart.v1.10" hidden="1">'Sheet 1'!$A$28</definedName>
    <definedName name="_xlchart.v1.11" hidden="1">'Sheet 1'!$A$3</definedName>
    <definedName name="_xlchart.v1.12" hidden="1">'Sheet 1'!$B$107:$AR$107</definedName>
    <definedName name="_xlchart.v1.13" hidden="1">'Sheet 1'!$B$1:$AR$1</definedName>
    <definedName name="_xlchart.v1.14" hidden="1">'Sheet 1'!$B$28:$AR$28</definedName>
    <definedName name="_xlchart.v1.15" hidden="1">'Sheet 1'!$B$3:$AR$3</definedName>
    <definedName name="_xlchart.v1.2" hidden="1">'Sheet 1'!$A$28</definedName>
    <definedName name="_xlchart.v1.3" hidden="1">'Sheet 1'!$A$3</definedName>
    <definedName name="_xlchart.v1.4" hidden="1">'Sheet 1'!$B$107:$AR$107</definedName>
    <definedName name="_xlchart.v1.5" hidden="1">'Sheet 1'!$B$1:$AR$1</definedName>
    <definedName name="_xlchart.v1.6" hidden="1">'Sheet 1'!$B$28:$AR$28</definedName>
    <definedName name="_xlchart.v1.7" hidden="1">'Sheet 1'!$B$3:$AR$3</definedName>
    <definedName name="_xlchart.v1.8" hidden="1">'Sheet 1'!$A$1</definedName>
    <definedName name="_xlchart.v1.9" hidden="1">'Sheet 1'!$A$107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7" i="1" l="1"/>
  <c r="AU7" i="1"/>
  <c r="AT7" i="1"/>
  <c r="AS7" i="1"/>
  <c r="AN6" i="1"/>
  <c r="AN106" i="1"/>
  <c r="AS106" i="1" s="1"/>
  <c r="AR106" i="1"/>
  <c r="AQ106" i="1"/>
  <c r="AP106" i="1"/>
  <c r="AO106" i="1"/>
  <c r="AT22" i="1"/>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9" i="1"/>
  <c r="AO109" i="1"/>
  <c r="AP109" i="1"/>
  <c r="AQ109" i="1"/>
  <c r="H105" i="1" l="1"/>
  <c r="AR30" i="1"/>
  <c r="AQ30" i="1"/>
  <c r="AP30" i="1"/>
  <c r="AO30" i="1"/>
  <c r="AN30" i="1"/>
  <c r="AR29" i="1"/>
  <c r="AQ29" i="1"/>
  <c r="AP29" i="1"/>
  <c r="AO29" i="1"/>
  <c r="AN29" i="1"/>
  <c r="AR21" i="1"/>
  <c r="AQ21" i="1"/>
  <c r="AP21" i="1"/>
  <c r="AO21" i="1"/>
  <c r="AN21" i="1"/>
  <c r="AR20" i="1"/>
  <c r="AQ20" i="1"/>
  <c r="AP20" i="1"/>
  <c r="AO20" i="1"/>
  <c r="AN20" i="1"/>
  <c r="AO117" i="1" a="1"/>
  <c r="AO117" i="1" s="1"/>
  <c r="AU102" i="1" a="1"/>
  <c r="AU102" i="1" s="1"/>
  <c r="AV22" i="1" s="1"/>
  <c r="AU96" i="1" a="1"/>
  <c r="AU96" i="1" s="1"/>
  <c r="Z88" i="1"/>
  <c r="AA88" i="1"/>
  <c r="AB88" i="1"/>
  <c r="AC88" i="1"/>
  <c r="AD88" i="1"/>
  <c r="AE88" i="1"/>
  <c r="AE89" i="1" s="1"/>
  <c r="AF88" i="1"/>
  <c r="AG88" i="1"/>
  <c r="AH88" i="1"/>
  <c r="AM88" i="1"/>
  <c r="AL88" i="1"/>
  <c r="AK88" i="1"/>
  <c r="AK89" i="1" s="1"/>
  <c r="AJ88" i="1"/>
  <c r="AI88" i="1"/>
  <c r="AL89" i="1"/>
  <c r="AM89" i="1"/>
  <c r="AV10" i="1" s="1"/>
  <c r="AL106" i="1"/>
  <c r="AM106" i="1"/>
  <c r="AV4" i="1" s="1"/>
  <c r="AL80" i="1"/>
  <c r="AM80" i="1"/>
  <c r="AL35" i="1"/>
  <c r="AM35" i="1"/>
  <c r="AL29" i="1"/>
  <c r="AM29" i="1"/>
  <c r="AL20" i="1"/>
  <c r="AM20" i="1"/>
  <c r="AL13" i="1"/>
  <c r="AM13" i="1"/>
  <c r="AL9" i="1"/>
  <c r="AM9" i="1"/>
  <c r="AS10" i="1"/>
  <c r="AU87" i="1"/>
  <c r="AO112" i="1"/>
  <c r="AU91" i="1"/>
  <c r="AU90" i="1"/>
  <c r="AU92" i="1" s="1"/>
  <c r="B105" i="1" s="1"/>
  <c r="AU89" i="1"/>
  <c r="AU88" i="1"/>
  <c r="AU100" i="1"/>
  <c r="AU86" i="1"/>
  <c r="AS19" i="1"/>
  <c r="AS16" i="1"/>
  <c r="AO115" i="1" s="1"/>
  <c r="AV13" i="1"/>
  <c r="AU13" i="1"/>
  <c r="AT13" i="1"/>
  <c r="AS13" i="1"/>
  <c r="AU10" i="1"/>
  <c r="AT10" i="1"/>
  <c r="AU4" i="1"/>
  <c r="AT4" i="1"/>
  <c r="AS4" i="1"/>
  <c r="AR4" i="1"/>
  <c r="AQ4" i="1"/>
  <c r="AP4" i="1"/>
  <c r="AO4" i="1"/>
  <c r="AN4"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G105" i="1" l="1"/>
  <c r="Q105" i="1"/>
  <c r="AG105" i="1"/>
  <c r="X105" i="1"/>
  <c r="AE105" i="1"/>
  <c r="V105" i="1"/>
  <c r="AK105" i="1"/>
  <c r="M105" i="1"/>
  <c r="AJ105" i="1"/>
  <c r="AB105" i="1"/>
  <c r="T105" i="1"/>
  <c r="L105" i="1"/>
  <c r="D105" i="1"/>
  <c r="Y105" i="1"/>
  <c r="AF105" i="1"/>
  <c r="AM105" i="1"/>
  <c r="AN105" i="1" s="1"/>
  <c r="AO105" i="1" s="1"/>
  <c r="AP105" i="1" s="1"/>
  <c r="AQ105" i="1" s="1"/>
  <c r="AR105" i="1" s="1"/>
  <c r="O105" i="1"/>
  <c r="AD105" i="1"/>
  <c r="N105" i="1"/>
  <c r="AC105" i="1"/>
  <c r="U105" i="1"/>
  <c r="E105" i="1"/>
  <c r="AI105" i="1"/>
  <c r="AA105" i="1"/>
  <c r="S105" i="1"/>
  <c r="K105" i="1"/>
  <c r="C105" i="1"/>
  <c r="I105" i="1"/>
  <c r="P105" i="1"/>
  <c r="W105" i="1"/>
  <c r="AL105" i="1"/>
  <c r="F105" i="1"/>
  <c r="AU93" i="1"/>
  <c r="AH105" i="1"/>
  <c r="Z105" i="1"/>
  <c r="R105" i="1"/>
  <c r="J105" i="1"/>
  <c r="AU22" i="1"/>
  <c r="AT19" i="1"/>
  <c r="AU19" i="1"/>
  <c r="AU16" i="1"/>
  <c r="AT16" i="1"/>
  <c r="AV16" i="1"/>
  <c r="AU107" i="1"/>
  <c r="AO113" i="1"/>
  <c r="AU104" i="1"/>
  <c r="AU103" i="1" s="1"/>
  <c r="AV19" i="1" l="1"/>
  <c r="AU101" i="1"/>
  <c r="AU95" i="1" l="1"/>
  <c r="AU98" i="1" s="1"/>
  <c r="AU106" i="1" s="1"/>
  <c r="AU109" i="1" s="1"/>
  <c r="AR108" i="1" l="1"/>
  <c r="AR109" i="1" s="1"/>
  <c r="AO111" i="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<sst xmlns="http://schemas.openxmlformats.org/spreadsheetml/2006/main" count="1067" uniqueCount="169">
  <si>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</si>
  <si>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</si>
  <si>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</si>
  <si>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</si>
  <si>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</si>
  <si>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</si>
  <si>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</si>
  <si>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</si>
  <si>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</si>
  <si>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</si>
  <si>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</si>
  <si>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</si>
  <si>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</si>
  <si>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</si>
  <si>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</si>
  <si>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</si>
  <si>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</si>
  <si>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</si>
  <si>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</si>
  <si>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</si>
  <si>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</si>
  <si>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</si>
  <si>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</si>
  <si>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</si>
  <si>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</si>
  <si>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</si>
  <si>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</si>
  <si>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</si>
  <si>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</si>
  <si>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</si>
  <si>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</si>
  <si>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</si>
  <si>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</si>
  <si>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</si>
  <si>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</si>
  <si>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</si>
  <si>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</si>
  <si>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</si>
  <si>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</si>
  <si>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</si>
  <si>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</si>
  <si>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</si>
  <si>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</si>
  <si>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</si>
  <si>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</si>
  <si>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</si>
  <si>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</si>
  <si>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</si>
  <si>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</si>
  <si>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</si>
  <si>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</si>
  <si>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</si>
  <si>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</si>
  <si>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</si>
  <si>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</si>
  <si>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</si>
  <si>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</si>
  <si>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</si>
  <si>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</si>
  <si>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</si>
  <si>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</si>
  <si>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</si>
  <si>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</si>
  <si>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</si>
  <si>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</si>
  <si>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</si>
  <si>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</si>
  <si>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</si>
  <si>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</si>
  <si>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</si>
  <si>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</si>
  <si>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</si>
  <si>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</si>
  <si>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</si>
  <si>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</si>
  <si>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</si>
  <si>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</si>
  <si>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</si>
  <si>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</si>
  <si>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</si>
  <si>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</si>
  <si>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</si>
  <si>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</si>
  <si>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</si>
  <si>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</si>
  <si>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</si>
  <si>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</si>
  <si>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</si>
  <si>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</si>
  <si>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</si>
  <si>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</si>
  <si>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</si>
  <si>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</si>
  <si>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</si>
  <si>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</si>
  <si>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</si>
  <si>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</si>
  <si>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</si>
  <si>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</si>
  <si>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</si>
  <si>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</si>
  <si>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</si>
  <si>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</si>
  <si>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</si>
  <si>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</si>
  <si>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</si>
  <si>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</si>
  <si>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</si>
  <si>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</si>
  <si>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</si>
  <si>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</si>
  <si>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</si>
  <si>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</si>
  <si>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</si>
  <si>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</si>
  <si>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</si>
  <si>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</si>
  <si>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</si>
  <si>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</si>
  <si>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</si>
  <si>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</si>
  <si>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</si>
  <si>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</si>
  <si>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</si>
  <si>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</si>
  <si>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</si>
  <si>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</si>
  <si>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</si>
  <si>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</si>
  <si>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</si>
  <si>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</si>
  <si>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</si>
  <si>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</si>
  <si>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</si>
  <si>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</si>
  <si>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</si>
  <si>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</si>
  <si>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</si>
  <si>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</si>
  <si>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</si>
  <si>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</si>
  <si>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</si>
  <si>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</si>
  <si>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</si>
  <si>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</si>
  <si>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</si>
  <si>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</si>
  <si>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</si>
  <si>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</si>
  <si>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</si>
  <si>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</si>
  <si>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</si>
  <si>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</si>
  <si>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</si>
  <si>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</si>
  <si>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</si>
  <si>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</si>
  <si>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</si>
  <si>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</si>
  <si>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</si>
  <si>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</si>
  <si>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</si>
  <si>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</si>
  <si>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</si>
  <si>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Proj</t>
  </si>
  <si>
    <t>Unlevered FCF Forecast</t>
  </si>
  <si>
    <t>Forward FCF Yield</t>
  </si>
  <si>
    <t>5Y Fwd FCF CAGR</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</si>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</sst>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0" fontId="17" fillId="3" borderId="6"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0" fontId="0" fillId="8" borderId="0" xfId="0"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 fillId="8"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Applied Materials</a:t>
            </a:r>
          </a:p>
        </c:rich>
      </c:tx>
      <c:layout>
        <c:manualLayout>
          <c:xMode val="edge"/>
          <c:yMode val="edge"/>
          <c:x val="0.37885425248996196"/>
          <c:y val="3.521409007244977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152317880794689E-2"/>
          <c:y val="0.17136456741620332"/>
          <c:w val="0.83132450331125818"/>
          <c:h val="0.56974708872488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pt idx="38">
                  <c:v>25384000000</c:v>
                </c:pt>
                <c:pt idx="39">
                  <c:v>24580000000</c:v>
                </c:pt>
                <c:pt idx="40">
                  <c:v>27500000000</c:v>
                </c:pt>
                <c:pt idx="41">
                  <c:v>30418000000</c:v>
                </c:pt>
                <c:pt idx="42">
                  <c:v>32372000000</c:v>
                </c:pt>
              </c:numCache>
            </c:numRef>
          </c:val>
          <c:extLst>
            <c:ext xmlns:c16="http://schemas.microsoft.com/office/drawing/2014/chart" uri="{C3380CC4-5D6E-409C-BE32-E72D297353CC}">
              <c16:uniqueId val="{00000000-9E98-8540-890A-586D83415E0D}"/>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9300000</c:v>
                </c:pt>
                <c:pt idx="1">
                  <c:v>1200000</c:v>
                </c:pt>
                <c:pt idx="2">
                  <c:v>300000</c:v>
                </c:pt>
                <c:pt idx="3">
                  <c:v>40000000</c:v>
                </c:pt>
                <c:pt idx="4">
                  <c:v>51500000</c:v>
                </c:pt>
                <c:pt idx="5">
                  <c:v>34100000</c:v>
                </c:pt>
                <c:pt idx="6">
                  <c:v>26200000</c:v>
                </c:pt>
                <c:pt idx="7">
                  <c:v>39500000</c:v>
                </c:pt>
                <c:pt idx="8">
                  <c:v>99700000</c:v>
                </c:pt>
                <c:pt idx="9">
                  <c:v>220700000</c:v>
                </c:pt>
                <c:pt idx="10">
                  <c:v>454100000</c:v>
                </c:pt>
                <c:pt idx="11">
                  <c:v>599600000</c:v>
                </c:pt>
                <c:pt idx="12">
                  <c:v>498500000</c:v>
                </c:pt>
                <c:pt idx="13">
                  <c:v>230900000</c:v>
                </c:pt>
                <c:pt idx="14">
                  <c:v>746700000</c:v>
                </c:pt>
                <c:pt idx="15">
                  <c:v>2063552000</c:v>
                </c:pt>
                <c:pt idx="16">
                  <c:v>775228000</c:v>
                </c:pt>
                <c:pt idx="17">
                  <c:v>269004000</c:v>
                </c:pt>
                <c:pt idx="18">
                  <c:v>-149147000</c:v>
                </c:pt>
                <c:pt idx="19">
                  <c:v>1351303000</c:v>
                </c:pt>
                <c:pt idx="20">
                  <c:v>1209900000</c:v>
                </c:pt>
                <c:pt idx="21">
                  <c:v>1516663000</c:v>
                </c:pt>
                <c:pt idx="22">
                  <c:v>1710196000</c:v>
                </c:pt>
                <c:pt idx="23">
                  <c:v>960746000</c:v>
                </c:pt>
                <c:pt idx="24">
                  <c:v>-305327000</c:v>
                </c:pt>
                <c:pt idx="25">
                  <c:v>937866000</c:v>
                </c:pt>
                <c:pt idx="26">
                  <c:v>1926000000</c:v>
                </c:pt>
                <c:pt idx="27">
                  <c:v>109000000</c:v>
                </c:pt>
                <c:pt idx="28">
                  <c:v>256000000</c:v>
                </c:pt>
                <c:pt idx="29">
                  <c:v>1072000000</c:v>
                </c:pt>
                <c:pt idx="30">
                  <c:v>1377000000</c:v>
                </c:pt>
                <c:pt idx="31">
                  <c:v>1721000000</c:v>
                </c:pt>
                <c:pt idx="32">
                  <c:v>3434000000</c:v>
                </c:pt>
                <c:pt idx="33">
                  <c:v>3313000000</c:v>
                </c:pt>
                <c:pt idx="34">
                  <c:v>2706000000</c:v>
                </c:pt>
                <c:pt idx="35">
                  <c:v>3619000000</c:v>
                </c:pt>
                <c:pt idx="36">
                  <c:v>5888000000</c:v>
                </c:pt>
                <c:pt idx="37">
                  <c:v>6525000000</c:v>
                </c:pt>
                <c:pt idx="38">
                  <c:v>6238000000</c:v>
                </c:pt>
                <c:pt idx="39">
                  <c:v>5889000000</c:v>
                </c:pt>
                <c:pt idx="40">
                  <c:v>7089000000</c:v>
                </c:pt>
                <c:pt idx="41">
                  <c:v>7694000000</c:v>
                </c:pt>
                <c:pt idx="42">
                  <c:v>7983000000</c:v>
                </c:pt>
              </c:numCache>
            </c:numRef>
          </c:val>
          <c:extLst>
            <c:ext xmlns:c16="http://schemas.microsoft.com/office/drawing/2014/chart" uri="{C3380CC4-5D6E-409C-BE32-E72D297353CC}">
              <c16:uniqueId val="{00000001-9E98-8540-890A-586D83415E0D}"/>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pt idx="38">
                  <c:v>5440000000</c:v>
                </c:pt>
                <c:pt idx="39">
                  <c:v>5185000000</c:v>
                </c:pt>
                <c:pt idx="40">
                  <c:v>5414000000</c:v>
                </c:pt>
                <c:pt idx="41">
                  <c:v>6406000000</c:v>
                </c:pt>
                <c:pt idx="42">
                  <c:v>7916000000</c:v>
                </c:pt>
              </c:numCache>
            </c:numRef>
          </c:val>
          <c:extLst>
            <c:ext xmlns:c16="http://schemas.microsoft.com/office/drawing/2014/chart" uri="{C3380CC4-5D6E-409C-BE32-E72D297353CC}">
              <c16:uniqueId val="{00000002-9E98-8540-890A-586D83415E0D}"/>
            </c:ext>
          </c:extLst>
        </c:ser>
        <c:dLbls>
          <c:showLegendKey val="0"/>
          <c:showVal val="0"/>
          <c:showCatName val="0"/>
          <c:showSerName val="0"/>
          <c:showPercent val="0"/>
          <c:showBubbleSize val="0"/>
        </c:dLbls>
        <c:gapWidth val="150"/>
        <c:overlap val="100"/>
        <c:axId val="203540848"/>
        <c:axId val="203546576"/>
      </c:barChart>
      <c:catAx>
        <c:axId val="2035408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03546576"/>
        <c:crosses val="autoZero"/>
        <c:auto val="1"/>
        <c:lblAlgn val="ctr"/>
        <c:lblOffset val="100"/>
        <c:noMultiLvlLbl val="0"/>
      </c:catAx>
      <c:valAx>
        <c:axId val="2035465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3540848"/>
        <c:crosses val="autoZero"/>
        <c:crossBetween val="between"/>
      </c:valAx>
      <c:spPr>
        <a:noFill/>
        <a:ln>
          <a:noFill/>
        </a:ln>
        <a:effectLst/>
      </c:spPr>
    </c:plotArea>
    <c:legend>
      <c:legendPos val="b"/>
      <c:layout>
        <c:manualLayout>
          <c:xMode val="edge"/>
          <c:yMode val="edge"/>
          <c:x val="0.34549908744850599"/>
          <c:y val="0.88315803589568564"/>
          <c:w val="0.31429983834802105"/>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17463</xdr:rowOff>
    </xdr:from>
    <xdr:to>
      <xdr:col>46</xdr:col>
      <xdr:colOff>1587500</xdr:colOff>
      <xdr:row>126</xdr:row>
      <xdr:rowOff>15875</xdr:rowOff>
    </xdr:to>
    <xdr:graphicFrame macro="">
      <xdr:nvGraphicFramePr>
        <xdr:cNvPr id="2" name="Chart 1">
          <a:extLst>
            <a:ext uri="{FF2B5EF4-FFF2-40B4-BE49-F238E27FC236}">
              <a16:creationId xmlns:a16="http://schemas.microsoft.com/office/drawing/2014/main" id="{69B3F9E1-6503-7DD4-485C-CDC1F2FF5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Commodities"/>
      <sheetName val="Full Portfolio"/>
      <sheetName val="Growth"/>
      <sheetName val="ROIC"/>
      <sheetName val="Treasurie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4.7160000000000001E-2</v>
          </cell>
        </row>
      </sheetData>
      <sheetData sheetId="7"/>
      <sheetData sheetId="8"/>
      <sheetData sheetId="9"/>
      <sheetData sheetId="10"/>
      <sheetData sheetId="11"/>
      <sheetData sheetId="1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155.26</v>
    <v>71.12</v>
    <v>1.5814999999999999</v>
    <v>1.01</v>
    <v>7.2519999999999998E-3</v>
    <v>0.68</v>
    <v>4.8470000000000006E-3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141.16</v>
    <v>Semiconductors &amp; Semiconductor Equipment</v>
    <v>Stock</v>
    <v>45205.999673032034</v>
    <v>0</v>
    <v>135.15</v>
    <v>117357300000</v>
    <v>APPLIED MATERIALS, INC.</v>
    <v>APPLIED MATERIALS, INC.</v>
    <v>138.05000000000001</v>
    <v>18.363600000000002</v>
    <v>139.28</v>
    <v>140.29</v>
    <v>140.97</v>
    <v>836533900</v>
    <v>AMAT</v>
    <v>APPLIED MATERIALS, INC. (XNAS:AMAT)</v>
    <v>5234440</v>
    <v>5488871</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hyperlink" Target="https://finbox.com/NASDAQGS:AMAT/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99" activePane="bottomRight" state="frozen"/>
      <selection pane="topRight"/>
      <selection pane="bottomLeft"/>
      <selection pane="bottomRight" activeCell="AV110" sqref="AV11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4">
        <v>25384000000</v>
      </c>
      <c r="AO3" s="24">
        <v>24580000000</v>
      </c>
      <c r="AP3" s="24">
        <v>27500000000</v>
      </c>
      <c r="AQ3" s="24">
        <v>30418000000</v>
      </c>
      <c r="AR3" s="24">
        <v>32372000000</v>
      </c>
      <c r="AS3" s="18" t="s">
        <v>108</v>
      </c>
      <c r="AT3" s="19" t="s">
        <v>109</v>
      </c>
      <c r="AU3" s="19" t="s">
        <v>110</v>
      </c>
      <c r="AV3" s="19" t="s">
        <v>111</v>
      </c>
    </row>
    <row r="4" spans="1:48" ht="19" x14ac:dyDescent="0.25">
      <c r="A4" s="14" t="s">
        <v>93</v>
      </c>
      <c r="B4" s="1"/>
      <c r="C4" s="15">
        <f>(C3/B3)-1</f>
        <v>-0.14490263459335628</v>
      </c>
      <c r="D4" s="15">
        <f>(D3/C3)-1</f>
        <v>0.16811788345612855</v>
      </c>
      <c r="E4" s="15">
        <f t="shared" ref="E4:AM4" si="0">(E3/D3)-1</f>
        <v>1.080275229357798</v>
      </c>
      <c r="F4" s="15">
        <f t="shared" si="0"/>
        <v>0.38313120176405735</v>
      </c>
      <c r="G4" s="15">
        <f t="shared" si="0"/>
        <v>0.13013152650458348</v>
      </c>
      <c r="H4" s="15">
        <f t="shared" si="0"/>
        <v>0.1260800564274378</v>
      </c>
      <c r="I4" s="15">
        <f t="shared" si="0"/>
        <v>0.17663639210773563</v>
      </c>
      <c r="J4" s="15">
        <f t="shared" si="0"/>
        <v>0.43731700825126429</v>
      </c>
      <c r="K4" s="15">
        <f t="shared" si="0"/>
        <v>0.53685185185185191</v>
      </c>
      <c r="L4" s="15">
        <f t="shared" si="0"/>
        <v>0.84474033016026029</v>
      </c>
      <c r="M4" s="15">
        <f t="shared" si="0"/>
        <v>0.35366929030993832</v>
      </c>
      <c r="N4" s="15">
        <f t="shared" si="0"/>
        <v>-1.7009264620729603E-2</v>
      </c>
      <c r="O4" s="15">
        <f t="shared" si="0"/>
        <v>-8.0013744692339905E-3</v>
      </c>
      <c r="P4" s="15">
        <f t="shared" si="0"/>
        <v>0.20224163099685777</v>
      </c>
      <c r="Q4" s="15">
        <f t="shared" si="0"/>
        <v>0.96835051758556112</v>
      </c>
      <c r="R4" s="15">
        <f t="shared" si="0"/>
        <v>-0.23223215394736241</v>
      </c>
      <c r="S4" s="15">
        <f t="shared" si="0"/>
        <v>-0.31061677339509708</v>
      </c>
      <c r="T4" s="15">
        <f t="shared" si="0"/>
        <v>-0.1155639952654044</v>
      </c>
      <c r="U4" s="15">
        <f t="shared" si="0"/>
        <v>0.78971235061558431</v>
      </c>
      <c r="V4" s="15">
        <f t="shared" si="0"/>
        <v>-0.12744689515108021</v>
      </c>
      <c r="W4" s="15">
        <f t="shared" si="0"/>
        <v>0.31110498649636864</v>
      </c>
      <c r="X4" s="15">
        <f t="shared" si="0"/>
        <v>6.1944052883523559E-2</v>
      </c>
      <c r="Y4" s="15">
        <f t="shared" si="0"/>
        <v>-0.16493474582469425</v>
      </c>
      <c r="Z4" s="15">
        <f t="shared" si="0"/>
        <v>-0.38326251900546671</v>
      </c>
      <c r="AA4" s="15">
        <f t="shared" si="0"/>
        <v>0.9045503566593871</v>
      </c>
      <c r="AB4" s="15">
        <f t="shared" si="0"/>
        <v>0.10141028061822666</v>
      </c>
      <c r="AC4" s="15">
        <f t="shared" si="0"/>
        <v>-0.17096130075116478</v>
      </c>
      <c r="AD4" s="15">
        <f t="shared" si="0"/>
        <v>-0.13877738272737694</v>
      </c>
      <c r="AE4" s="15">
        <f t="shared" si="0"/>
        <v>0.20815021973631631</v>
      </c>
      <c r="AF4" s="15">
        <f t="shared" si="0"/>
        <v>6.4704585537918913E-2</v>
      </c>
      <c r="AG4" s="15">
        <f t="shared" si="0"/>
        <v>0.12071643027228496</v>
      </c>
      <c r="AH4" s="15">
        <f t="shared" si="0"/>
        <v>0.34290993071593534</v>
      </c>
      <c r="AI4" s="15">
        <f t="shared" si="0"/>
        <v>0.18683359702827262</v>
      </c>
      <c r="AJ4" s="15">
        <f t="shared" si="0"/>
        <v>-0.15330667130354136</v>
      </c>
      <c r="AK4" s="15">
        <f t="shared" si="0"/>
        <v>0.17757393209200445</v>
      </c>
      <c r="AL4" s="15">
        <f t="shared" si="0"/>
        <v>0.34071619579118706</v>
      </c>
      <c r="AM4" s="15">
        <f t="shared" si="0"/>
        <v>0.11802454147335562</v>
      </c>
      <c r="AN4" s="16">
        <f t="shared" ref="AN4:AR4" si="1">(AN3/AM3)-1</f>
        <v>-1.5551677331782088E-2</v>
      </c>
      <c r="AO4" s="16">
        <f t="shared" si="1"/>
        <v>-3.1673495115033146E-2</v>
      </c>
      <c r="AP4" s="16">
        <f t="shared" si="1"/>
        <v>0.1187957689178194</v>
      </c>
      <c r="AQ4" s="16">
        <f t="shared" si="1"/>
        <v>0.10610909090909093</v>
      </c>
      <c r="AR4" s="16">
        <f t="shared" si="1"/>
        <v>6.4238279965809664E-2</v>
      </c>
      <c r="AS4" s="17">
        <f>(AM4+AL4+AK4)/3</f>
        <v>0.2121048897855157</v>
      </c>
      <c r="AT4" s="17">
        <f>(AM20+AL20+AK20)/3</f>
        <v>0.3004029222172418</v>
      </c>
      <c r="AU4" s="17">
        <f>(AM29+AL29+AK29)/3</f>
        <v>0.35751776373101124</v>
      </c>
      <c r="AV4" s="17">
        <f>(AM106+AL106+AK106)/3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N6" s="30">
        <f>AN3*AN7</f>
        <v>11757868800</v>
      </c>
      <c r="AS6" s="69" t="s">
        <v>112</v>
      </c>
      <c r="AT6" s="70" t="s">
        <v>113</v>
      </c>
      <c r="AU6" s="70" t="s">
        <v>114</v>
      </c>
      <c r="AV6" s="70" t="s">
        <v>115</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N7" s="2">
        <v>0.4632</v>
      </c>
      <c r="AS7" s="17">
        <f>AN7</f>
        <v>0.4632</v>
      </c>
      <c r="AT7" s="20">
        <f>AN21</f>
        <v>0.30050425464859754</v>
      </c>
      <c r="AU7" s="20">
        <f>AN30</f>
        <v>0.24574535140245823</v>
      </c>
      <c r="AV7" s="20">
        <f>AN107/AN3</f>
        <v>0.21430822565395524</v>
      </c>
    </row>
    <row r="8" spans="1:48" ht="19" x14ac:dyDescent="0.25">
      <c r="A8" s="5" t="s">
        <v>5</v>
      </c>
      <c r="B8" s="1" t="s">
        <v>91</v>
      </c>
      <c r="C8" s="1" t="s">
        <v>91</v>
      </c>
      <c r="D8" s="1" t="s">
        <v>91</v>
      </c>
      <c r="E8" s="1" t="s">
        <v>91</v>
      </c>
      <c r="F8" s="1" t="s">
        <v>91</v>
      </c>
      <c r="G8" s="1" t="s">
        <v>91</v>
      </c>
      <c r="H8" s="1" t="s">
        <v>91</v>
      </c>
      <c r="I8" s="1" t="s">
        <v>91</v>
      </c>
      <c r="J8" s="1" t="s">
        <v>91</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f t="shared" si="2"/>
        <v>0.11392938908302205</v>
      </c>
      <c r="L9" s="15">
        <f t="shared" si="2"/>
        <v>0.10767823900192691</v>
      </c>
      <c r="M9" s="15">
        <f t="shared" si="2"/>
        <v>0.11614553175062729</v>
      </c>
      <c r="N9" s="15">
        <f t="shared" si="2"/>
        <v>0.13931227450114131</v>
      </c>
      <c r="O9" s="15">
        <f t="shared" si="2"/>
        <v>0.15931414998639187</v>
      </c>
      <c r="P9" s="15">
        <f t="shared" si="2"/>
        <v>0.14031404992694121</v>
      </c>
      <c r="Q9" s="15">
        <f t="shared" si="2"/>
        <v>0.115837962647364</v>
      </c>
      <c r="R9" s="15">
        <f t="shared" si="2"/>
        <v>0.16325187437493599</v>
      </c>
      <c r="S9" s="15">
        <f t="shared" si="2"/>
        <v>0.2078633241096163</v>
      </c>
      <c r="T9" s="15">
        <f t="shared" si="2"/>
        <v>0.20561942478163694</v>
      </c>
      <c r="U9" s="15">
        <f t="shared" si="2"/>
        <v>0.12378200445946824</v>
      </c>
      <c r="V9" s="15">
        <f t="shared" si="2"/>
        <v>0.13451527591588058</v>
      </c>
      <c r="W9" s="15">
        <f t="shared" si="2"/>
        <v>0.12570352788814329</v>
      </c>
      <c r="X9" s="15">
        <f t="shared" si="2"/>
        <v>0.11731791410165697</v>
      </c>
      <c r="Y9" s="15">
        <f t="shared" si="2"/>
        <v>0.13582106076336781</v>
      </c>
      <c r="Z9" s="15">
        <f t="shared" si="2"/>
        <v>0.18631595974714413</v>
      </c>
      <c r="AA9" s="15">
        <f t="shared" si="2"/>
        <v>0.1197571346869673</v>
      </c>
      <c r="AB9" s="15">
        <f t="shared" si="2"/>
        <v>0.10630407911001236</v>
      </c>
      <c r="AC9" s="15">
        <f t="shared" si="2"/>
        <v>0.14187406812707878</v>
      </c>
      <c r="AD9" s="15">
        <f t="shared" si="2"/>
        <v>0.17578905313623652</v>
      </c>
      <c r="AE9" s="15">
        <f t="shared" si="2"/>
        <v>0.15740740740740741</v>
      </c>
      <c r="AF9" s="15">
        <f t="shared" si="2"/>
        <v>0.15022259033026192</v>
      </c>
      <c r="AG9" s="15">
        <f t="shared" si="2"/>
        <v>0.14226327944572748</v>
      </c>
      <c r="AH9" s="15">
        <f t="shared" si="2"/>
        <v>0.12203343193231066</v>
      </c>
      <c r="AI9" s="15">
        <f t="shared" si="2"/>
        <v>0.11702312641279777</v>
      </c>
      <c r="AJ9" s="15">
        <f t="shared" si="2"/>
        <v>0.14060788608981381</v>
      </c>
      <c r="AK9" s="15">
        <f t="shared" si="2"/>
        <v>0.12986861992791535</v>
      </c>
      <c r="AL9" s="15">
        <f t="shared" si="2"/>
        <v>0.10774834149937129</v>
      </c>
      <c r="AM9" s="15">
        <f t="shared" si="2"/>
        <v>0.10746558076401008</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406946000</v>
      </c>
      <c r="AA10" s="1">
        <v>535820000</v>
      </c>
      <c r="AB10" s="1" t="s">
        <v>91</v>
      </c>
      <c r="AC10" s="1" t="s">
        <v>91</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327572000</v>
      </c>
      <c r="AA11" s="1">
        <v>406028000</v>
      </c>
      <c r="AB11" s="1" t="s">
        <v>91</v>
      </c>
      <c r="AC11" s="1" t="s">
        <v>91</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116</v>
      </c>
      <c r="AT12" s="19" t="s">
        <v>117</v>
      </c>
      <c r="AU12" s="19" t="s">
        <v>118</v>
      </c>
      <c r="AV12" s="19" t="s">
        <v>119</v>
      </c>
    </row>
    <row r="13" spans="1:48" ht="19" x14ac:dyDescent="0.25">
      <c r="A13" s="14" t="s">
        <v>99</v>
      </c>
      <c r="B13" s="15">
        <f>B12/B3</f>
        <v>0.36827033218785798</v>
      </c>
      <c r="C13" s="15">
        <f t="shared" ref="C13:AM13" si="3">C12/C3</f>
        <v>0.37776289350301406</v>
      </c>
      <c r="D13" s="15">
        <f t="shared" si="3"/>
        <v>0.39736238532110091</v>
      </c>
      <c r="E13" s="15">
        <f t="shared" si="3"/>
        <v>0.27590959206174198</v>
      </c>
      <c r="F13" s="15">
        <f t="shared" si="3"/>
        <v>0.32124352331606215</v>
      </c>
      <c r="G13" s="15">
        <f t="shared" si="3"/>
        <v>0.36360430259213544</v>
      </c>
      <c r="H13" s="15">
        <f t="shared" si="3"/>
        <v>0.33808330723457564</v>
      </c>
      <c r="I13" s="15">
        <f t="shared" si="3"/>
        <v>0.31354804365184991</v>
      </c>
      <c r="J13" s="15">
        <f t="shared" si="3"/>
        <v>0.28870370370370368</v>
      </c>
      <c r="K13" s="15">
        <f t="shared" si="3"/>
        <v>0.14580069887938304</v>
      </c>
      <c r="L13" s="15">
        <f t="shared" si="3"/>
        <v>0.12613083379600901</v>
      </c>
      <c r="M13" s="15">
        <f t="shared" si="3"/>
        <v>0.13021134916039376</v>
      </c>
      <c r="N13" s="15">
        <f t="shared" si="3"/>
        <v>0.13906683356650223</v>
      </c>
      <c r="O13" s="15">
        <f t="shared" si="3"/>
        <v>0.14689363386693718</v>
      </c>
      <c r="P13" s="15">
        <f t="shared" si="3"/>
        <v>0.13541602354345456</v>
      </c>
      <c r="Q13" s="15">
        <f t="shared" si="3"/>
        <v>0.10045081704970468</v>
      </c>
      <c r="R13" s="15">
        <f t="shared" si="3"/>
        <v>0.12282357888498387</v>
      </c>
      <c r="S13" s="15">
        <f t="shared" si="3"/>
        <v>0.14004569453640944</v>
      </c>
      <c r="T13" s="15">
        <f t="shared" si="3"/>
        <v>0.13978653609961916</v>
      </c>
      <c r="U13" s="15">
        <f t="shared" si="3"/>
        <v>9.3799462203155021E-2</v>
      </c>
      <c r="V13" s="15">
        <f t="shared" si="3"/>
        <v>9.9745373989015451E-2</v>
      </c>
      <c r="W13" s="15">
        <f t="shared" si="3"/>
        <v>9.8913561166155087E-2</v>
      </c>
      <c r="X13" s="15">
        <f t="shared" si="3"/>
        <v>9.7838427193992397E-2</v>
      </c>
      <c r="Y13" s="15">
        <f t="shared" si="3"/>
        <v>0.11872745791734529</v>
      </c>
      <c r="Z13" s="15">
        <f t="shared" si="3"/>
        <v>0.14650490156089219</v>
      </c>
      <c r="AA13" s="15">
        <f t="shared" si="3"/>
        <v>9.8636595034678656E-2</v>
      </c>
      <c r="AB13" s="15">
        <f t="shared" si="3"/>
        <v>8.5670818674526958E-2</v>
      </c>
      <c r="AC13" s="15">
        <f t="shared" si="3"/>
        <v>0.1234086477807088</v>
      </c>
      <c r="AD13" s="15">
        <f t="shared" si="3"/>
        <v>0.12012251964309495</v>
      </c>
      <c r="AE13" s="15">
        <f t="shared" si="3"/>
        <v>9.8104056437389772E-2</v>
      </c>
      <c r="AF13" s="15">
        <f t="shared" si="3"/>
        <v>9.1417330986644577E-2</v>
      </c>
      <c r="AG13" s="15">
        <f t="shared" si="3"/>
        <v>7.5658198614318703E-2</v>
      </c>
      <c r="AH13" s="15">
        <f t="shared" si="3"/>
        <v>6.1223085918690238E-2</v>
      </c>
      <c r="AI13" s="15">
        <f t="shared" si="3"/>
        <v>5.8076856198921924E-2</v>
      </c>
      <c r="AJ13" s="15">
        <f t="shared" si="3"/>
        <v>6.7223439211391012E-2</v>
      </c>
      <c r="AK13" s="15">
        <f t="shared" si="3"/>
        <v>6.3539123357749097E-2</v>
      </c>
      <c r="AL13" s="15">
        <f t="shared" si="3"/>
        <v>5.3288817586610589E-2</v>
      </c>
      <c r="AM13" s="15">
        <f t="shared" si="3"/>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91</v>
      </c>
      <c r="M14" s="1">
        <v>-100000</v>
      </c>
      <c r="N14" s="1">
        <v>16300000</v>
      </c>
      <c r="O14" s="1">
        <v>237200000</v>
      </c>
      <c r="P14" s="1">
        <v>48300000</v>
      </c>
      <c r="Q14" s="1">
        <v>-160791000</v>
      </c>
      <c r="R14" s="1">
        <v>221164000</v>
      </c>
      <c r="S14" s="1">
        <v>85479000</v>
      </c>
      <c r="T14" s="1" t="s">
        <v>91</v>
      </c>
      <c r="U14" s="1">
        <v>26627000</v>
      </c>
      <c r="V14" s="1" t="s">
        <v>91</v>
      </c>
      <c r="W14" s="1">
        <v>572656000</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120</v>
      </c>
      <c r="AT15" s="19" t="s">
        <v>121</v>
      </c>
      <c r="AU15" s="19" t="s">
        <v>122</v>
      </c>
      <c r="AV15" s="19" t="s">
        <v>123</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5">
        <f>(AM35+AL35+AK35+AJ35+AI35)/5</f>
        <v>-4.1153774213629021E-2</v>
      </c>
      <c r="AT16" s="35">
        <f>AU102/AM3</f>
        <v>4.5513787085514839</v>
      </c>
      <c r="AU16" s="35">
        <f>AU102/AM28</f>
        <v>17.985793103448277</v>
      </c>
      <c r="AV16" s="36">
        <f>AU102/AM107</f>
        <v>25.446075455333911</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8"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124</v>
      </c>
      <c r="AT18" s="19" t="s">
        <v>158</v>
      </c>
      <c r="AU18" s="19" t="s">
        <v>159</v>
      </c>
      <c r="AV18" s="19" t="s">
        <v>160</v>
      </c>
    </row>
    <row r="19" spans="1:48"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N19" s="30">
        <v>7628000000</v>
      </c>
      <c r="AO19" s="30">
        <v>7170000000</v>
      </c>
      <c r="AP19" s="30">
        <v>8562000000</v>
      </c>
      <c r="AQ19" s="30">
        <v>9960000000</v>
      </c>
      <c r="AR19" s="30">
        <v>10924000000</v>
      </c>
      <c r="AS19" s="26">
        <f>AM40-AM56-AM61</f>
        <v>-2876000000</v>
      </c>
      <c r="AT19" s="35">
        <f>AU102/AN3</f>
        <v>4.6232784431137723</v>
      </c>
      <c r="AU19" s="35">
        <f>AU102/AN28</f>
        <v>18.813289515870473</v>
      </c>
      <c r="AV19" s="36">
        <f>AU102/AN105</f>
        <v>24.418445820511423</v>
      </c>
    </row>
    <row r="20" spans="1:48" ht="19" customHeight="1" x14ac:dyDescent="0.25">
      <c r="A20" s="14" t="s">
        <v>100</v>
      </c>
      <c r="B20" s="1"/>
      <c r="C20" s="15">
        <f>(C19/B19)-1</f>
        <v>-0.53301886792452824</v>
      </c>
      <c r="D20" s="15">
        <f>(D19/C19)-1</f>
        <v>-1.0101010101010055E-2</v>
      </c>
      <c r="E20" s="15">
        <f>(E19/D19)-1</f>
        <v>6.9693877551020407</v>
      </c>
      <c r="F20" s="15">
        <f t="shared" ref="F20:AK20" si="4">(F19/E19)-1</f>
        <v>0.2304737516005122</v>
      </c>
      <c r="G20" s="15">
        <f t="shared" si="4"/>
        <v>-0.27055150884495316</v>
      </c>
      <c r="H20" s="15">
        <f t="shared" si="4"/>
        <v>-7.5606276747503531E-2</v>
      </c>
      <c r="I20" s="15">
        <f t="shared" si="4"/>
        <v>0.35493827160493829</v>
      </c>
      <c r="J20" s="15">
        <f t="shared" si="4"/>
        <v>1.1560364464692481</v>
      </c>
      <c r="K20" s="15">
        <f t="shared" si="4"/>
        <v>1.0966719492868462</v>
      </c>
      <c r="L20" s="15">
        <f t="shared" si="4"/>
        <v>0.9697656840513984</v>
      </c>
      <c r="M20" s="15">
        <f t="shared" si="4"/>
        <v>0.37042721923765676</v>
      </c>
      <c r="N20" s="15">
        <f t="shared" si="4"/>
        <v>-4.9561321635243627E-2</v>
      </c>
      <c r="O20" s="15">
        <f t="shared" si="4"/>
        <v>-0.34763822056368454</v>
      </c>
      <c r="P20" s="15">
        <f t="shared" si="4"/>
        <v>1.0352250489236789</v>
      </c>
      <c r="Q20" s="15">
        <f t="shared" si="4"/>
        <v>1.4480872781065091</v>
      </c>
      <c r="R20" s="15">
        <f t="shared" si="4"/>
        <v>-0.54959009781214285</v>
      </c>
      <c r="S20" s="15">
        <f t="shared" si="4"/>
        <v>-0.51163792207130121</v>
      </c>
      <c r="T20" s="15">
        <f t="shared" si="4"/>
        <v>-0.76260135130494744</v>
      </c>
      <c r="U20" s="15">
        <f t="shared" si="4"/>
        <v>11.649260855729453</v>
      </c>
      <c r="V20" s="15">
        <f t="shared" si="4"/>
        <v>-0.13908934766848025</v>
      </c>
      <c r="W20" s="15">
        <f t="shared" si="4"/>
        <v>0.29499780304789258</v>
      </c>
      <c r="X20" s="15">
        <f t="shared" si="4"/>
        <v>0.11102189888831626</v>
      </c>
      <c r="Y20" s="15">
        <f t="shared" si="4"/>
        <v>-0.36160365614753687</v>
      </c>
      <c r="Z20" s="15">
        <f t="shared" si="4"/>
        <v>-1.1002424268366682</v>
      </c>
      <c r="AA20" s="15">
        <f t="shared" si="4"/>
        <v>-10.884752100452404</v>
      </c>
      <c r="AB20" s="15">
        <f t="shared" si="4"/>
        <v>0.56626899896555027</v>
      </c>
      <c r="AC20" s="15">
        <f t="shared" si="4"/>
        <v>-0.68952664927320162</v>
      </c>
      <c r="AD20" s="15">
        <f t="shared" si="4"/>
        <v>2.6410564225690214E-2</v>
      </c>
      <c r="AE20" s="15">
        <f t="shared" si="4"/>
        <v>1.2432748538011698</v>
      </c>
      <c r="AF20" s="15">
        <f t="shared" si="4"/>
        <v>8.0291970802919721E-2</v>
      </c>
      <c r="AG20" s="15">
        <f t="shared" si="4"/>
        <v>0.23407335907335902</v>
      </c>
      <c r="AH20" s="15">
        <f t="shared" si="4"/>
        <v>0.69573719202190065</v>
      </c>
      <c r="AI20" s="15">
        <f t="shared" si="4"/>
        <v>0.24192804428044279</v>
      </c>
      <c r="AJ20" s="15">
        <f t="shared" si="4"/>
        <v>-0.28152274837511604</v>
      </c>
      <c r="AK20" s="15">
        <f t="shared" si="4"/>
        <v>0.23597828896355644</v>
      </c>
      <c r="AL20" s="15">
        <f t="shared" ref="AL20" si="5">(AL19/AK19)-1</f>
        <v>0.54767879548306153</v>
      </c>
      <c r="AM20" s="15">
        <f t="shared" ref="AM20:AR20" si="6">(AM19/AL19)-1</f>
        <v>0.11755168220510748</v>
      </c>
      <c r="AN20" s="16">
        <f t="shared" si="6"/>
        <v>-7.7741506468383514E-2</v>
      </c>
      <c r="AO20" s="16">
        <f t="shared" si="6"/>
        <v>-6.0041950707918179E-2</v>
      </c>
      <c r="AP20" s="16">
        <f t="shared" si="6"/>
        <v>0.19414225941422592</v>
      </c>
      <c r="AQ20" s="16">
        <f t="shared" si="6"/>
        <v>0.16327960756832516</v>
      </c>
      <c r="AR20" s="16">
        <f t="shared" si="6"/>
        <v>9.6787148594377426E-2</v>
      </c>
    </row>
    <row r="21" spans="1:48" ht="20"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c r="AN21" s="31">
        <f>AN19/AN3</f>
        <v>0.30050425464859754</v>
      </c>
      <c r="AO21" s="31">
        <f t="shared" ref="AO21:AR21" si="7">AO19/AO3</f>
        <v>0.29170056956875506</v>
      </c>
      <c r="AP21" s="31">
        <f t="shared" si="7"/>
        <v>0.31134545454545454</v>
      </c>
      <c r="AQ21" s="31">
        <f t="shared" si="7"/>
        <v>0.32743770136103623</v>
      </c>
      <c r="AR21" s="31">
        <f t="shared" si="7"/>
        <v>0.33745211911528483</v>
      </c>
      <c r="AT21" s="65" t="s">
        <v>168</v>
      </c>
      <c r="AU21" s="18" t="s">
        <v>161</v>
      </c>
      <c r="AV21" s="19" t="s">
        <v>166</v>
      </c>
    </row>
    <row r="22" spans="1:48"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c r="AT22" s="17">
        <f>SUM(AN29:AR29)/4</f>
        <v>5.6685718287863229E-2</v>
      </c>
      <c r="AU22" s="37">
        <f>(-1*AM98)/AU102</f>
        <v>7.438821445278649E-3</v>
      </c>
      <c r="AV22" s="38">
        <f>AN107/AU102</f>
        <v>4.635416799807085E-2</v>
      </c>
    </row>
    <row r="23" spans="1:48"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8"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91</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8"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8"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8"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8"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c r="AN28" s="32">
        <v>6238000000</v>
      </c>
      <c r="AO28" s="32">
        <v>5889000000</v>
      </c>
      <c r="AP28" s="32">
        <v>7089000000</v>
      </c>
      <c r="AQ28" s="32">
        <v>7694000000</v>
      </c>
      <c r="AR28" s="32">
        <v>7983000000</v>
      </c>
    </row>
    <row r="29" spans="1:48" ht="20" customHeight="1" thickTop="1" x14ac:dyDescent="0.25">
      <c r="A29" s="14" t="s">
        <v>101</v>
      </c>
      <c r="B29" s="1"/>
      <c r="C29" s="15">
        <f>(C28/B28)-1</f>
        <v>-0.87096774193548387</v>
      </c>
      <c r="D29" s="15">
        <f>(D28/C28)-1</f>
        <v>-0.75</v>
      </c>
      <c r="E29" s="15">
        <f>(E28/D28)-1</f>
        <v>132.33333333333334</v>
      </c>
      <c r="F29" s="15">
        <f t="shared" ref="F29:AK29" si="8">(F28/E28)-1</f>
        <v>0.28750000000000009</v>
      </c>
      <c r="G29" s="15">
        <f t="shared" si="8"/>
        <v>-0.3378640776699029</v>
      </c>
      <c r="H29" s="15">
        <f t="shared" si="8"/>
        <v>-0.23167155425219943</v>
      </c>
      <c r="I29" s="15">
        <f t="shared" si="8"/>
        <v>0.50763358778625944</v>
      </c>
      <c r="J29" s="15">
        <f t="shared" si="8"/>
        <v>1.5240506329113925</v>
      </c>
      <c r="K29" s="15">
        <f t="shared" si="8"/>
        <v>1.2136409227683047</v>
      </c>
      <c r="L29" s="15">
        <f t="shared" si="8"/>
        <v>1.0575441776166743</v>
      </c>
      <c r="M29" s="15">
        <f t="shared" si="8"/>
        <v>0.32041400572561107</v>
      </c>
      <c r="N29" s="15">
        <f t="shared" si="8"/>
        <v>-0.16861240827218149</v>
      </c>
      <c r="O29" s="15">
        <f t="shared" si="8"/>
        <v>-0.53681043129388162</v>
      </c>
      <c r="P29" s="15">
        <f t="shared" si="8"/>
        <v>2.233867475097445</v>
      </c>
      <c r="Q29" s="15">
        <f t="shared" si="8"/>
        <v>1.7635623409669212</v>
      </c>
      <c r="R29" s="15">
        <f t="shared" si="8"/>
        <v>-0.62432349657289954</v>
      </c>
      <c r="S29" s="15">
        <f t="shared" si="8"/>
        <v>-0.65300014963339814</v>
      </c>
      <c r="T29" s="15">
        <f t="shared" si="8"/>
        <v>-1.554441569642087</v>
      </c>
      <c r="U29" s="15">
        <f t="shared" si="8"/>
        <v>-10.060209055495585</v>
      </c>
      <c r="V29" s="15">
        <f t="shared" si="8"/>
        <v>-0.10464196408947513</v>
      </c>
      <c r="W29" s="15">
        <f t="shared" si="8"/>
        <v>0.25354409455326876</v>
      </c>
      <c r="X29" s="15">
        <f t="shared" si="8"/>
        <v>0.12760448431853355</v>
      </c>
      <c r="Y29" s="15">
        <f t="shared" si="8"/>
        <v>-0.43822462454595845</v>
      </c>
      <c r="Z29" s="15">
        <f t="shared" si="8"/>
        <v>-1.3178019996960695</v>
      </c>
      <c r="AA29" s="15">
        <f t="shared" si="8"/>
        <v>-4.0716772509473449</v>
      </c>
      <c r="AB29" s="15">
        <f t="shared" si="8"/>
        <v>1.053598275233349</v>
      </c>
      <c r="AC29" s="15">
        <f t="shared" si="8"/>
        <v>-0.94340602284527519</v>
      </c>
      <c r="AD29" s="15">
        <f t="shared" si="8"/>
        <v>1.3486238532110093</v>
      </c>
      <c r="AE29" s="15">
        <f t="shared" si="8"/>
        <v>3.1875</v>
      </c>
      <c r="AF29" s="15">
        <f t="shared" si="8"/>
        <v>0.28451492537313428</v>
      </c>
      <c r="AG29" s="15">
        <f t="shared" si="8"/>
        <v>0.24981844589687729</v>
      </c>
      <c r="AH29" s="15">
        <f t="shared" si="8"/>
        <v>0.9953515398024404</v>
      </c>
      <c r="AI29" s="15">
        <f t="shared" si="8"/>
        <v>-3.5235876528829313E-2</v>
      </c>
      <c r="AJ29" s="15">
        <f t="shared" si="8"/>
        <v>-0.18321762752792037</v>
      </c>
      <c r="AK29" s="15">
        <f t="shared" si="8"/>
        <v>0.33739837398373984</v>
      </c>
      <c r="AL29" s="15">
        <f t="shared" ref="AL29" si="9">(AL28/AK28)-1</f>
        <v>0.62696877590494604</v>
      </c>
      <c r="AM29" s="15">
        <f t="shared" ref="AM29:AR29" si="10">(AM28/AL28)-1</f>
        <v>0.10818614130434789</v>
      </c>
      <c r="AN29" s="16">
        <f t="shared" si="10"/>
        <v>-4.3984674329501927E-2</v>
      </c>
      <c r="AO29" s="16">
        <f t="shared" si="10"/>
        <v>-5.5947419044565572E-2</v>
      </c>
      <c r="AP29" s="16">
        <f t="shared" si="10"/>
        <v>0.20376974019358118</v>
      </c>
      <c r="AQ29" s="16">
        <f t="shared" si="10"/>
        <v>8.5343489913951132E-2</v>
      </c>
      <c r="AR29" s="16">
        <f t="shared" si="10"/>
        <v>3.7561736417988101E-2</v>
      </c>
    </row>
    <row r="30" spans="1:48"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c r="AN30" s="33">
        <f>AN28/AN3</f>
        <v>0.24574535140245823</v>
      </c>
      <c r="AO30" s="33">
        <f t="shared" ref="AO30:AR30" si="11">AO28/AO3</f>
        <v>0.23958502847843777</v>
      </c>
      <c r="AP30" s="33">
        <f t="shared" si="11"/>
        <v>0.25778181818181817</v>
      </c>
      <c r="AQ30" s="33">
        <f t="shared" si="11"/>
        <v>0.25294233677427841</v>
      </c>
      <c r="AR30" s="33">
        <f t="shared" si="11"/>
        <v>0.24660200172989002</v>
      </c>
    </row>
    <row r="31" spans="1:48"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c r="AN31" s="34">
        <v>7.43</v>
      </c>
      <c r="AO31" s="34">
        <v>7.01</v>
      </c>
      <c r="AP31" s="34">
        <v>8.44</v>
      </c>
      <c r="AQ31" s="34">
        <v>9.16</v>
      </c>
      <c r="AR31" s="34">
        <v>9.51</v>
      </c>
    </row>
    <row r="32" spans="1:48"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102</v>
      </c>
      <c r="B35" s="1"/>
      <c r="C35" s="22">
        <f>(C34-B34)/B34</f>
        <v>0.35556129032258066</v>
      </c>
      <c r="D35" s="22">
        <f t="shared" ref="D35:AK35" si="12">(D34-C34)/C34</f>
        <v>0.17826682911970759</v>
      </c>
      <c r="E35" s="22">
        <f t="shared" si="12"/>
        <v>9.8235636269630965E-3</v>
      </c>
      <c r="F35" s="22">
        <f t="shared" si="12"/>
        <v>0.03</v>
      </c>
      <c r="G35" s="22">
        <f t="shared" si="12"/>
        <v>-5.4091539805825241E-2</v>
      </c>
      <c r="H35" s="22">
        <f t="shared" si="12"/>
        <v>7.5659824362363584E-2</v>
      </c>
      <c r="I35" s="22">
        <f t="shared" si="12"/>
        <v>7.6881134541984739E-2</v>
      </c>
      <c r="J35" s="22">
        <f t="shared" si="12"/>
        <v>0.10427215147939033</v>
      </c>
      <c r="K35" s="22">
        <f t="shared" si="12"/>
        <v>9.1543430290872613E-2</v>
      </c>
      <c r="L35" s="22">
        <f t="shared" si="12"/>
        <v>1.0859317109890498</v>
      </c>
      <c r="M35" s="22">
        <f t="shared" si="12"/>
        <v>-0.48235390306064913</v>
      </c>
      <c r="N35" s="22">
        <f t="shared" si="12"/>
        <v>1.0578627176523772</v>
      </c>
      <c r="O35" s="22">
        <f t="shared" si="12"/>
        <v>-0.49911337663231331</v>
      </c>
      <c r="P35" s="22">
        <f t="shared" si="12"/>
        <v>4.6326629820241577E-2</v>
      </c>
      <c r="Q35" s="22">
        <f t="shared" si="12"/>
        <v>8.4691561269862117E-2</v>
      </c>
      <c r="R35" s="22">
        <f t="shared" si="12"/>
        <v>-1.3780757918407206E-2</v>
      </c>
      <c r="S35" s="22">
        <f t="shared" si="12"/>
        <v>4.0710279006147551E-3</v>
      </c>
      <c r="T35" s="22">
        <f t="shared" si="12"/>
        <v>-2.4683275376610952E-2</v>
      </c>
      <c r="U35" s="22">
        <f t="shared" si="12"/>
        <v>3.7412393789426936E-2</v>
      </c>
      <c r="V35" s="22">
        <f t="shared" si="12"/>
        <v>-3.7262037179557922E-2</v>
      </c>
      <c r="W35" s="22">
        <f t="shared" si="12"/>
        <v>-5.5759511503216001E-2</v>
      </c>
      <c r="X35" s="22">
        <f t="shared" si="12"/>
        <v>-8.8219583507979191E-2</v>
      </c>
      <c r="Y35" s="22">
        <f t="shared" si="12"/>
        <v>-3.6786914103834473E-2</v>
      </c>
      <c r="Z35" s="22">
        <f t="shared" si="12"/>
        <v>-3.0131530796132722E-2</v>
      </c>
      <c r="AA35" s="22">
        <f t="shared" si="12"/>
        <v>1.1786892267669649E-2</v>
      </c>
      <c r="AB35" s="22">
        <f t="shared" si="12"/>
        <v>-1.3941239794662531E-2</v>
      </c>
      <c r="AC35" s="22">
        <f t="shared" si="12"/>
        <v>-3.9849624060150378E-2</v>
      </c>
      <c r="AD35" s="22">
        <f t="shared" si="12"/>
        <v>-4.541895066562255E-2</v>
      </c>
      <c r="AE35" s="22">
        <f t="shared" si="12"/>
        <v>9.8441345365053324E-3</v>
      </c>
      <c r="AF35" s="22">
        <f t="shared" si="12"/>
        <v>-4.0617384240454911E-3</v>
      </c>
      <c r="AG35" s="22">
        <f t="shared" si="12"/>
        <v>-8.9722675367047311E-2</v>
      </c>
      <c r="AH35" s="22">
        <f t="shared" si="12"/>
        <v>-2.8673835125448029E-2</v>
      </c>
      <c r="AI35" s="22">
        <f t="shared" si="12"/>
        <v>-5.350553505535055E-2</v>
      </c>
      <c r="AJ35" s="22">
        <f t="shared" si="12"/>
        <v>-7.8947368421052627E-2</v>
      </c>
      <c r="AK35" s="22">
        <f t="shared" si="12"/>
        <v>-2.328042328042328E-2</v>
      </c>
      <c r="AL35" s="22">
        <f t="shared" ref="AL35" si="13">(AL34-AK34)/AK34</f>
        <v>-4.3336944745395447E-3</v>
      </c>
      <c r="AM35" s="22">
        <f t="shared" ref="AM35" si="14">(AM34-AL34)/AL34</f>
        <v>-4.5701849836779107E-2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13000000</v>
      </c>
      <c r="O46" s="1">
        <v>12000000</v>
      </c>
      <c r="P46" s="1" t="s">
        <v>91</v>
      </c>
      <c r="Q46" s="1">
        <v>100000000</v>
      </c>
      <c r="R46" s="1">
        <v>111000000</v>
      </c>
      <c r="S46" s="1" t="s">
        <v>91</v>
      </c>
      <c r="T46" s="1" t="s">
        <v>91</v>
      </c>
      <c r="U46" s="1" t="s">
        <v>91</v>
      </c>
      <c r="V46" s="1" t="s">
        <v>91</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186000000</v>
      </c>
      <c r="O47" s="1">
        <v>91000000</v>
      </c>
      <c r="P47" s="1" t="s">
        <v>91</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199000000</v>
      </c>
      <c r="O48" s="1">
        <v>103000000</v>
      </c>
      <c r="P48" s="1" t="s">
        <v>91</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v>12000000</v>
      </c>
      <c r="N50" s="1">
        <v>47000000</v>
      </c>
      <c r="O50" s="1">
        <v>11000000</v>
      </c>
      <c r="P50" s="1" t="s">
        <v>91</v>
      </c>
      <c r="Q50" s="1">
        <v>109000000</v>
      </c>
      <c r="R50" s="1">
        <v>124000000</v>
      </c>
      <c r="S50" s="1" t="s">
        <v>91</v>
      </c>
      <c r="T50" s="1" t="s">
        <v>91</v>
      </c>
      <c r="U50" s="1" t="s">
        <v>91</v>
      </c>
      <c r="V50" s="1" t="s">
        <v>91</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91</v>
      </c>
      <c r="AA51" s="1" t="s">
        <v>91</v>
      </c>
      <c r="AB51" s="1" t="s">
        <v>91</v>
      </c>
      <c r="AC51" s="1" t="s">
        <v>91</v>
      </c>
      <c r="AD51" s="1" t="s">
        <v>91</v>
      </c>
      <c r="AE51" s="1" t="s">
        <v>91</v>
      </c>
      <c r="AF51" s="1" t="s">
        <v>91</v>
      </c>
      <c r="AG51" s="1" t="s">
        <v>91</v>
      </c>
      <c r="AH51" s="1" t="s">
        <v>91</v>
      </c>
      <c r="AI51" s="1" t="s">
        <v>91</v>
      </c>
      <c r="AJ51" s="1">
        <v>265000000</v>
      </c>
      <c r="AK51" s="1">
        <v>260000000</v>
      </c>
      <c r="AL51" s="1">
        <v>229000000</v>
      </c>
      <c r="AM51" s="1" t="s">
        <v>91</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91</v>
      </c>
      <c r="C55" s="1" t="s">
        <v>91</v>
      </c>
      <c r="D55" s="1" t="s">
        <v>91</v>
      </c>
      <c r="E55" s="1" t="s">
        <v>91</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91</v>
      </c>
      <c r="S56" s="1">
        <v>49776000</v>
      </c>
      <c r="T56" s="1">
        <v>105292000</v>
      </c>
      <c r="U56" s="1">
        <v>45864000</v>
      </c>
      <c r="V56" s="1">
        <v>7574000</v>
      </c>
      <c r="W56" s="1">
        <v>202535000</v>
      </c>
      <c r="X56" s="1">
        <v>2561000</v>
      </c>
      <c r="Y56" s="1">
        <v>1068000</v>
      </c>
      <c r="Z56" s="1">
        <v>1240000</v>
      </c>
      <c r="AA56" s="1">
        <v>1258000</v>
      </c>
      <c r="AB56" s="1" t="s">
        <v>91</v>
      </c>
      <c r="AC56" s="1" t="s">
        <v>91</v>
      </c>
      <c r="AD56" s="1" t="s">
        <v>91</v>
      </c>
      <c r="AE56" s="1" t="s">
        <v>91</v>
      </c>
      <c r="AF56" s="1">
        <v>1200000000</v>
      </c>
      <c r="AG56" s="1">
        <v>200000000</v>
      </c>
      <c r="AH56" s="1" t="s">
        <v>91</v>
      </c>
      <c r="AI56" s="1" t="s">
        <v>91</v>
      </c>
      <c r="AJ56" s="1">
        <v>600000000</v>
      </c>
      <c r="AK56" s="1">
        <v>64000000</v>
      </c>
      <c r="AL56" s="1">
        <v>73000000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v>318106000</v>
      </c>
      <c r="W58" s="1" t="s">
        <v>91</v>
      </c>
      <c r="X58" s="1">
        <v>445475000</v>
      </c>
      <c r="Y58" s="1" t="s">
        <v>91</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91</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91</v>
      </c>
      <c r="N63" s="1" t="s">
        <v>91</v>
      </c>
      <c r="O63" s="1" t="s">
        <v>91</v>
      </c>
      <c r="P63" s="1">
        <v>33200000</v>
      </c>
      <c r="Q63" s="1" t="s">
        <v>91</v>
      </c>
      <c r="R63" s="1" t="s">
        <v>91</v>
      </c>
      <c r="S63" s="1">
        <v>129807000</v>
      </c>
      <c r="T63" s="1">
        <v>146289000</v>
      </c>
      <c r="U63" s="1">
        <v>133001000</v>
      </c>
      <c r="V63" s="1">
        <v>167814000</v>
      </c>
      <c r="W63" s="1" t="s">
        <v>91</v>
      </c>
      <c r="X63" s="1" t="s">
        <v>91</v>
      </c>
      <c r="Y63" s="1" t="s">
        <v>91</v>
      </c>
      <c r="Z63" s="1" t="s">
        <v>91</v>
      </c>
      <c r="AA63" s="1" t="s">
        <v>91</v>
      </c>
      <c r="AB63" s="1" t="s">
        <v>91</v>
      </c>
      <c r="AC63" s="1">
        <v>341000000</v>
      </c>
      <c r="AD63" s="1">
        <v>71000000</v>
      </c>
      <c r="AE63" s="1">
        <v>32000000</v>
      </c>
      <c r="AF63" s="1">
        <v>56000000</v>
      </c>
      <c r="AG63" s="1">
        <v>1000000</v>
      </c>
      <c r="AH63" s="1" t="s">
        <v>91</v>
      </c>
      <c r="AI63" s="1" t="s">
        <v>91</v>
      </c>
      <c r="AJ63" s="1" t="s">
        <v>91</v>
      </c>
      <c r="AK63" s="1" t="s">
        <v>91</v>
      </c>
      <c r="AL63" s="1" t="s">
        <v>91</v>
      </c>
      <c r="AM63" s="1" t="s">
        <v>91</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91</v>
      </c>
      <c r="T64" s="1" t="s">
        <v>91</v>
      </c>
      <c r="U64" s="1" t="s">
        <v>91</v>
      </c>
      <c r="V64" s="1" t="s">
        <v>91</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91</v>
      </c>
      <c r="C68" s="1" t="s">
        <v>91</v>
      </c>
      <c r="D68" s="1" t="s">
        <v>91</v>
      </c>
      <c r="E68" s="1" t="s">
        <v>91</v>
      </c>
      <c r="F68" s="1" t="s">
        <v>91</v>
      </c>
      <c r="G68" s="1" t="s">
        <v>91</v>
      </c>
      <c r="H68" s="1" t="s">
        <v>91</v>
      </c>
      <c r="I68" s="1" t="s">
        <v>91</v>
      </c>
      <c r="J68" s="1" t="s">
        <v>91</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91</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91</v>
      </c>
      <c r="C77" s="1" t="s">
        <v>91</v>
      </c>
      <c r="D77" s="1" t="s">
        <v>91</v>
      </c>
      <c r="E77" s="1" t="s">
        <v>91</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91</v>
      </c>
      <c r="C78" s="1" t="s">
        <v>91</v>
      </c>
      <c r="D78" s="1" t="s">
        <v>91</v>
      </c>
      <c r="E78" s="1" t="s">
        <v>91</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103</v>
      </c>
      <c r="B80" s="15" t="e">
        <f t="shared" ref="B80:AM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t="e">
        <f t="shared" si="15"/>
        <v>#VALUE!</v>
      </c>
      <c r="M80" s="15" t="e">
        <f t="shared" si="15"/>
        <v>#VALUE!</v>
      </c>
      <c r="N80" s="15" t="e">
        <f t="shared" si="15"/>
        <v>#VALUE!</v>
      </c>
      <c r="O80" s="15" t="e">
        <f t="shared" si="15"/>
        <v>#VALUE!</v>
      </c>
      <c r="P80" s="15" t="e">
        <f t="shared" si="15"/>
        <v>#VALUE!</v>
      </c>
      <c r="Q80" s="15" t="e">
        <f t="shared" si="15"/>
        <v>#VALUE!</v>
      </c>
      <c r="R80" s="15" t="e">
        <f t="shared" si="15"/>
        <v>#VALUE!</v>
      </c>
      <c r="S80" s="15" t="e">
        <f t="shared" si="15"/>
        <v>#VALUE!</v>
      </c>
      <c r="T80" s="15" t="e">
        <f t="shared" si="15"/>
        <v>#VALUE!</v>
      </c>
      <c r="U80" s="15" t="e">
        <f t="shared" si="15"/>
        <v>#VALUE!</v>
      </c>
      <c r="V80" s="15" t="e">
        <f t="shared" si="15"/>
        <v>#VALUE!</v>
      </c>
      <c r="W80" s="15" t="e">
        <f t="shared" si="15"/>
        <v>#VALUE!</v>
      </c>
      <c r="X80" s="15" t="e">
        <f t="shared" si="15"/>
        <v>#VALUE!</v>
      </c>
      <c r="Y80" s="15" t="e">
        <f t="shared" si="15"/>
        <v>#VALUE!</v>
      </c>
      <c r="Z80" s="15">
        <f t="shared" si="15"/>
        <v>2.9352121137536307E-2</v>
      </c>
      <c r="AA80" s="15">
        <f t="shared" si="15"/>
        <v>1.3202889995011869E-2</v>
      </c>
      <c r="AB80" s="15">
        <f t="shared" si="15"/>
        <v>1.3882285822953314E-2</v>
      </c>
      <c r="AC80" s="15">
        <f t="shared" si="15"/>
        <v>2.0873953435026953E-2</v>
      </c>
      <c r="AD80" s="15">
        <f t="shared" si="15"/>
        <v>2.1574111066719935E-2</v>
      </c>
      <c r="AE80" s="15">
        <f t="shared" si="15"/>
        <v>1.9510582010582009E-2</v>
      </c>
      <c r="AF80" s="15">
        <f t="shared" si="15"/>
        <v>1.9360182213479658E-2</v>
      </c>
      <c r="AG80" s="15">
        <f t="shared" si="15"/>
        <v>1.8568129330254042E-2</v>
      </c>
      <c r="AH80" s="15">
        <f t="shared" si="15"/>
        <v>1.51337965192268E-2</v>
      </c>
      <c r="AI80" s="15">
        <f t="shared" si="15"/>
        <v>1.4953921057207442E-2</v>
      </c>
      <c r="AJ80" s="15">
        <f t="shared" si="15"/>
        <v>1.8003833515881709E-2</v>
      </c>
      <c r="AK80" s="15">
        <f t="shared" si="15"/>
        <v>1.784676200441809E-2</v>
      </c>
      <c r="AL80" s="15">
        <f t="shared" si="15"/>
        <v>1.5002384772145862E-2</v>
      </c>
      <c r="AM80" s="15">
        <f t="shared" si="15"/>
        <v>1.6017064184603452E-2</v>
      </c>
    </row>
    <row r="81" spans="1:47" ht="19" x14ac:dyDescent="0.25">
      <c r="A81" s="5" t="s">
        <v>69</v>
      </c>
      <c r="B81" s="1" t="s">
        <v>91</v>
      </c>
      <c r="C81" s="1" t="s">
        <v>91</v>
      </c>
      <c r="D81" s="1" t="s">
        <v>91</v>
      </c>
      <c r="E81" s="1" t="s">
        <v>91</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19" x14ac:dyDescent="0.25">
      <c r="A83" s="5" t="s">
        <v>34</v>
      </c>
      <c r="B83" s="1" t="s">
        <v>91</v>
      </c>
      <c r="C83" s="1" t="s">
        <v>91</v>
      </c>
      <c r="D83" s="1" t="s">
        <v>91</v>
      </c>
      <c r="E83" s="1" t="s">
        <v>91</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-660006000</v>
      </c>
      <c r="AA84" s="1">
        <v>469049000</v>
      </c>
      <c r="AB84" s="1" t="s">
        <v>91</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T84" s="72" t="s">
        <v>125</v>
      </c>
      <c r="AU84" s="73"/>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91</v>
      </c>
      <c r="AT85" s="75" t="s">
        <v>126</v>
      </c>
      <c r="AU85" s="75"/>
    </row>
    <row r="86" spans="1:47" ht="20" x14ac:dyDescent="0.25">
      <c r="A86" s="5" t="s">
        <v>72</v>
      </c>
      <c r="B86" s="1" t="s">
        <v>91</v>
      </c>
      <c r="C86" s="1" t="s">
        <v>91</v>
      </c>
      <c r="D86" s="1" t="s">
        <v>91</v>
      </c>
      <c r="E86" s="1" t="s">
        <v>91</v>
      </c>
      <c r="F86" s="1">
        <v>100000</v>
      </c>
      <c r="G86" s="1" t="s">
        <v>91</v>
      </c>
      <c r="H86" s="1">
        <v>-100000</v>
      </c>
      <c r="I86" s="1" t="s">
        <v>91</v>
      </c>
      <c r="J86" s="1">
        <v>3200000</v>
      </c>
      <c r="K86" s="1">
        <v>-3300000</v>
      </c>
      <c r="L86" s="1">
        <v>-100000</v>
      </c>
      <c r="M86" s="1" t="s">
        <v>91</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91</v>
      </c>
      <c r="AT86" s="41" t="s">
        <v>127</v>
      </c>
      <c r="AU86" s="42">
        <f>AM17</f>
        <v>228000000</v>
      </c>
    </row>
    <row r="87" spans="1:47" ht="20" x14ac:dyDescent="0.25">
      <c r="A87" s="6" t="s">
        <v>73</v>
      </c>
      <c r="B87" s="10" t="s">
        <v>91</v>
      </c>
      <c r="C87" s="10" t="s">
        <v>91</v>
      </c>
      <c r="D87" s="10" t="s">
        <v>91</v>
      </c>
      <c r="E87" s="10" t="s">
        <v>91</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T87" s="41" t="s">
        <v>128</v>
      </c>
      <c r="AU87" s="42">
        <f>AM56</f>
        <v>0</v>
      </c>
    </row>
    <row r="88" spans="1:47" ht="20" x14ac:dyDescent="0.25">
      <c r="A88" s="5" t="s">
        <v>74</v>
      </c>
      <c r="B88" s="1" t="s">
        <v>91</v>
      </c>
      <c r="C88" s="1" t="s">
        <v>91</v>
      </c>
      <c r="D88" s="1" t="s">
        <v>91</v>
      </c>
      <c r="E88" s="1" t="s">
        <v>91</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6">Z93</f>
        <v>-248427000</v>
      </c>
      <c r="AA88" s="1">
        <f t="shared" si="16"/>
        <v>-169081000</v>
      </c>
      <c r="AB88" s="1">
        <f t="shared" si="16"/>
        <v>-79000000</v>
      </c>
      <c r="AC88" s="1">
        <f t="shared" si="16"/>
        <v>-162000000</v>
      </c>
      <c r="AD88" s="1">
        <f t="shared" si="16"/>
        <v>-190000000</v>
      </c>
      <c r="AE88" s="1">
        <f t="shared" si="16"/>
        <v>-216000000</v>
      </c>
      <c r="AF88" s="1">
        <f t="shared" ref="AF88:AG88" si="17">AF93</f>
        <v>-215000000</v>
      </c>
      <c r="AG88" s="1">
        <f t="shared" si="17"/>
        <v>-253000000</v>
      </c>
      <c r="AH88" s="1">
        <f t="shared" ref="AH88:AM88" si="18">AH93</f>
        <v>-345000000</v>
      </c>
      <c r="AI88" s="1">
        <f t="shared" si="18"/>
        <v>-622000000</v>
      </c>
      <c r="AJ88" s="1">
        <f t="shared" si="18"/>
        <v>-441000000</v>
      </c>
      <c r="AK88" s="1">
        <f t="shared" si="18"/>
        <v>-422000000</v>
      </c>
      <c r="AL88" s="1">
        <f t="shared" si="18"/>
        <v>-668000000</v>
      </c>
      <c r="AM88" s="1">
        <f t="shared" si="18"/>
        <v>-787000000</v>
      </c>
      <c r="AT88" s="41" t="s">
        <v>129</v>
      </c>
      <c r="AU88" s="42">
        <f>AM61</f>
        <v>5457000000</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8.549222797927461E-2</v>
      </c>
      <c r="G89" s="15">
        <f t="shared" si="19"/>
        <v>0.19590901075648035</v>
      </c>
      <c r="H89" s="15">
        <f t="shared" si="19"/>
        <v>0.10569996868149076</v>
      </c>
      <c r="I89" s="15">
        <f t="shared" si="19"/>
        <v>8.8634548842161293E-2</v>
      </c>
      <c r="J89" s="15">
        <f t="shared" si="19"/>
        <v>9.2037037037037042E-2</v>
      </c>
      <c r="K89" s="15">
        <f t="shared" si="19"/>
        <v>0.10868779371008555</v>
      </c>
      <c r="L89" s="15">
        <f t="shared" si="19"/>
        <v>8.6743525262092169E-2</v>
      </c>
      <c r="M89" s="15">
        <f t="shared" si="19"/>
        <v>0.10917293958695233</v>
      </c>
      <c r="N89" s="15">
        <f t="shared" si="19"/>
        <v>8.3302653216503444E-2</v>
      </c>
      <c r="O89" s="15">
        <f t="shared" si="19"/>
        <v>0.11099289902763688</v>
      </c>
      <c r="P89" s="15">
        <f t="shared" si="19"/>
        <v>4.1983083287028461E-2</v>
      </c>
      <c r="Q89" s="15">
        <f t="shared" si="19"/>
        <v>4.0070942155147643E-2</v>
      </c>
      <c r="R89" s="15">
        <f t="shared" si="19"/>
        <v>9.6771891675182423E-2</v>
      </c>
      <c r="S89" s="15">
        <f t="shared" si="19"/>
        <v>8.238923242976727E-2</v>
      </c>
      <c r="T89" s="15">
        <f t="shared" si="19"/>
        <v>5.9250113517303207E-2</v>
      </c>
      <c r="U89" s="15">
        <f t="shared" si="19"/>
        <v>2.3783289860568924E-2</v>
      </c>
      <c r="V89" s="15">
        <f t="shared" si="19"/>
        <v>2.8554784639142038E-2</v>
      </c>
      <c r="W89" s="15">
        <f t="shared" si="19"/>
        <v>1.9579112675076095E-2</v>
      </c>
      <c r="X89" s="15">
        <f t="shared" si="19"/>
        <v>2.7199580558767381E-2</v>
      </c>
      <c r="Y89" s="15">
        <f t="shared" si="19"/>
        <v>3.5416102858323778E-2</v>
      </c>
      <c r="Z89" s="15">
        <f t="shared" si="19"/>
        <v>4.9550553124726372E-2</v>
      </c>
      <c r="AA89" s="15">
        <f t="shared" si="19"/>
        <v>1.7707288357631489E-2</v>
      </c>
      <c r="AB89" s="15">
        <f t="shared" si="19"/>
        <v>7.511647808310355E-3</v>
      </c>
      <c r="AC89" s="15">
        <f t="shared" si="19"/>
        <v>1.8580112398210804E-2</v>
      </c>
      <c r="AD89" s="15">
        <f t="shared" si="19"/>
        <v>2.5302969769609801E-2</v>
      </c>
      <c r="AE89" s="15">
        <f t="shared" si="19"/>
        <v>2.3809523809523808E-2</v>
      </c>
      <c r="AF89" s="15">
        <f t="shared" si="19"/>
        <v>2.2259033026193187E-2</v>
      </c>
      <c r="AG89" s="15">
        <f t="shared" si="19"/>
        <v>2.3371824480369514E-2</v>
      </c>
      <c r="AH89" s="15">
        <f t="shared" si="19"/>
        <v>2.3732544541514754E-2</v>
      </c>
      <c r="AI89" s="15">
        <f t="shared" si="19"/>
        <v>3.6051701153422593E-2</v>
      </c>
      <c r="AJ89" s="15">
        <f t="shared" si="19"/>
        <v>3.0188937568455639E-2</v>
      </c>
      <c r="AK89" s="15">
        <f t="shared" si="19"/>
        <v>2.453203115916754E-2</v>
      </c>
      <c r="AL89" s="15">
        <f t="shared" si="19"/>
        <v>2.8964141698824959E-2</v>
      </c>
      <c r="AM89" s="15">
        <f t="shared" si="19"/>
        <v>3.0521621097537328E-2</v>
      </c>
      <c r="AT89" s="43" t="s">
        <v>130</v>
      </c>
      <c r="AU89" s="44">
        <f>AU86/(AU87+AU88)</f>
        <v>4.1781198460692691E-2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-246300000</v>
      </c>
      <c r="O90" s="1" t="s">
        <v>91</v>
      </c>
      <c r="P90" s="1">
        <v>-36500000</v>
      </c>
      <c r="Q90" s="1" t="s">
        <v>91</v>
      </c>
      <c r="R90" s="1">
        <v>-21017000</v>
      </c>
      <c r="S90" s="1">
        <v>-107462000</v>
      </c>
      <c r="T90" s="1">
        <v>-13498000</v>
      </c>
      <c r="U90" s="1">
        <v>-7400000</v>
      </c>
      <c r="V90" s="1">
        <v>-101793000</v>
      </c>
      <c r="W90" s="1">
        <v>-339093000</v>
      </c>
      <c r="X90" s="1">
        <v>-599653000</v>
      </c>
      <c r="Y90" s="1">
        <v>-235324000</v>
      </c>
      <c r="Z90" s="1" t="s">
        <v>91</v>
      </c>
      <c r="AA90" s="1">
        <v>-322599000</v>
      </c>
      <c r="AB90" s="1" t="s">
        <v>91</v>
      </c>
      <c r="AC90" s="1">
        <v>-4190000000</v>
      </c>
      <c r="AD90" s="1">
        <v>-1000000</v>
      </c>
      <c r="AE90" s="1">
        <v>-12000000</v>
      </c>
      <c r="AF90" s="1">
        <v>-4000000</v>
      </c>
      <c r="AG90" s="1">
        <v>-16000000</v>
      </c>
      <c r="AH90" s="1">
        <v>-68000000</v>
      </c>
      <c r="AI90" s="1">
        <v>-6000000</v>
      </c>
      <c r="AJ90" s="1">
        <v>-28000000</v>
      </c>
      <c r="AK90" s="1">
        <v>-107000000</v>
      </c>
      <c r="AL90" s="1">
        <v>-12000000</v>
      </c>
      <c r="AM90" s="1">
        <v>-441000000</v>
      </c>
      <c r="AT90" s="41" t="s">
        <v>105</v>
      </c>
      <c r="AU90" s="42">
        <f>AM27</f>
        <v>1074000000</v>
      </c>
    </row>
    <row r="91" spans="1:47" ht="20" x14ac:dyDescent="0.25">
      <c r="A91" s="5" t="s">
        <v>76</v>
      </c>
      <c r="B91" s="1" t="s">
        <v>91</v>
      </c>
      <c r="C91" s="1" t="s">
        <v>91</v>
      </c>
      <c r="D91" s="1" t="s">
        <v>91</v>
      </c>
      <c r="E91" s="1" t="s">
        <v>91</v>
      </c>
      <c r="F91" s="1">
        <v>-100600000</v>
      </c>
      <c r="G91" s="1">
        <v>-36500000</v>
      </c>
      <c r="H91" s="1">
        <v>-42700000</v>
      </c>
      <c r="I91" s="1">
        <v>-82600000</v>
      </c>
      <c r="J91" s="1">
        <v>-239000000</v>
      </c>
      <c r="K91" s="1" t="s">
        <v>91</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T91" s="41" t="s">
        <v>19</v>
      </c>
      <c r="AU91" s="42">
        <f>AM25</f>
        <v>7599000000</v>
      </c>
    </row>
    <row r="92" spans="1:47" ht="20" x14ac:dyDescent="0.25">
      <c r="A92" s="5" t="s">
        <v>77</v>
      </c>
      <c r="B92" s="1" t="s">
        <v>91</v>
      </c>
      <c r="C92" s="1" t="s">
        <v>91</v>
      </c>
      <c r="D92" s="1" t="s">
        <v>91</v>
      </c>
      <c r="E92" s="1" t="s">
        <v>91</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T92" s="43" t="s">
        <v>131</v>
      </c>
      <c r="AU92" s="44">
        <f>AU90/AU91</f>
        <v>0.14133438610343466</v>
      </c>
    </row>
    <row r="93" spans="1:47" ht="19" customHeight="1" x14ac:dyDescent="0.25">
      <c r="A93" s="5" t="s">
        <v>78</v>
      </c>
      <c r="B93" s="1" t="s">
        <v>91</v>
      </c>
      <c r="C93" s="1" t="s">
        <v>91</v>
      </c>
      <c r="D93" s="1" t="s">
        <v>91</v>
      </c>
      <c r="E93" s="1" t="s">
        <v>91</v>
      </c>
      <c r="F93" s="1">
        <v>3800000</v>
      </c>
      <c r="G93" s="1">
        <v>4900000</v>
      </c>
      <c r="H93" s="1">
        <v>4800000</v>
      </c>
      <c r="I93" s="1">
        <v>5600000</v>
      </c>
      <c r="J93" s="1">
        <v>-1900000</v>
      </c>
      <c r="K93" s="1">
        <v>-266800000</v>
      </c>
      <c r="L93" s="1">
        <v>100000</v>
      </c>
      <c r="M93" s="1" t="s">
        <v>91</v>
      </c>
      <c r="N93" s="1" t="s">
        <v>91</v>
      </c>
      <c r="O93" s="1">
        <v>-32300000</v>
      </c>
      <c r="P93" s="1" t="s">
        <v>91</v>
      </c>
      <c r="Q93" s="1" t="s">
        <v>91</v>
      </c>
      <c r="R93" s="1" t="s">
        <v>91</v>
      </c>
      <c r="S93" s="1" t="s">
        <v>91</v>
      </c>
      <c r="T93" s="1">
        <v>53321000</v>
      </c>
      <c r="U93" s="1" t="s">
        <v>91</v>
      </c>
      <c r="V93" s="1" t="s">
        <v>91</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T93" s="43" t="s">
        <v>132</v>
      </c>
      <c r="AU93" s="44">
        <f>AU89*(1-AU92)</f>
        <v>3.587607842558492E-2</v>
      </c>
    </row>
    <row r="94" spans="1:47" ht="20" customHeight="1" x14ac:dyDescent="0.25">
      <c r="A94" s="6" t="s">
        <v>79</v>
      </c>
      <c r="B94" s="10" t="s">
        <v>91</v>
      </c>
      <c r="C94" s="10" t="s">
        <v>91</v>
      </c>
      <c r="D94" s="10" t="s">
        <v>91</v>
      </c>
      <c r="E94" s="10" t="s">
        <v>91</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T94" s="75" t="s">
        <v>133</v>
      </c>
      <c r="AU94" s="75"/>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-750000</v>
      </c>
      <c r="AA95" s="1">
        <v>-6441000</v>
      </c>
      <c r="AB95" s="1" t="s">
        <v>91</v>
      </c>
      <c r="AC95" s="1">
        <v>-1000000</v>
      </c>
      <c r="AD95" s="1" t="s">
        <v>91</v>
      </c>
      <c r="AE95" s="1" t="s">
        <v>91</v>
      </c>
      <c r="AF95" s="1" t="s">
        <v>91</v>
      </c>
      <c r="AG95" s="1">
        <v>-1207000000</v>
      </c>
      <c r="AH95" s="1">
        <v>-205000000</v>
      </c>
      <c r="AI95" s="1" t="s">
        <v>91</v>
      </c>
      <c r="AJ95" s="1" t="s">
        <v>91</v>
      </c>
      <c r="AK95" s="1">
        <v>-2882000000</v>
      </c>
      <c r="AL95" s="1" t="s">
        <v>91</v>
      </c>
      <c r="AM95" s="1" t="s">
        <v>91</v>
      </c>
      <c r="AT95" s="41" t="s">
        <v>134</v>
      </c>
      <c r="AU95" s="45">
        <f>[1]Treasuries!$C$8</f>
        <v>4.7160000000000001E-2</v>
      </c>
    </row>
    <row r="96" spans="1:47" ht="20" x14ac:dyDescent="0.25">
      <c r="A96" s="5" t="s">
        <v>81</v>
      </c>
      <c r="B96" s="1" t="s">
        <v>91</v>
      </c>
      <c r="C96" s="1" t="s">
        <v>91</v>
      </c>
      <c r="D96" s="1" t="s">
        <v>91</v>
      </c>
      <c r="E96" s="1" t="s">
        <v>91</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T96" s="46" t="s">
        <v>135</v>
      </c>
      <c r="AU96" s="47" cm="1">
        <f t="array" ref="AU96">_FV(A1,"Beta")</f>
        <v>1.5814999999999999</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91</v>
      </c>
      <c r="AF97" s="1">
        <v>-1325000000</v>
      </c>
      <c r="AG97" s="1">
        <v>-1892000000</v>
      </c>
      <c r="AH97" s="1">
        <v>-1172000000</v>
      </c>
      <c r="AI97" s="1">
        <v>-5283000000</v>
      </c>
      <c r="AJ97" s="1">
        <v>-2403000000</v>
      </c>
      <c r="AK97" s="1">
        <v>-649000000</v>
      </c>
      <c r="AL97" s="1">
        <v>-3750000000</v>
      </c>
      <c r="AM97" s="1">
        <v>-6103000000</v>
      </c>
      <c r="AT97" s="41" t="s">
        <v>136</v>
      </c>
      <c r="AU97" s="48">
        <v>8.4000000000000005E-2</v>
      </c>
    </row>
    <row r="98" spans="1:47"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T98" s="43" t="s">
        <v>137</v>
      </c>
      <c r="AU98" s="44">
        <f>(AU95)+((AU96)*(AU97-AU95))</f>
        <v>0.10542246</v>
      </c>
    </row>
    <row r="99" spans="1:47" ht="20" customHeight="1" x14ac:dyDescent="0.25">
      <c r="A99" s="5" t="s">
        <v>84</v>
      </c>
      <c r="B99" s="1" t="s">
        <v>91</v>
      </c>
      <c r="C99" s="1" t="s">
        <v>91</v>
      </c>
      <c r="D99" s="1" t="s">
        <v>91</v>
      </c>
      <c r="E99" s="1" t="s">
        <v>91</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91</v>
      </c>
      <c r="AA99" s="1" t="s">
        <v>91</v>
      </c>
      <c r="AB99" s="1">
        <v>1730000000</v>
      </c>
      <c r="AC99" s="1" t="s">
        <v>91</v>
      </c>
      <c r="AD99" s="1" t="s">
        <v>91</v>
      </c>
      <c r="AE99" s="1" t="s">
        <v>91</v>
      </c>
      <c r="AF99" s="1">
        <v>2637000000</v>
      </c>
      <c r="AG99" s="1">
        <v>23000000</v>
      </c>
      <c r="AH99" s="1">
        <v>2231000000</v>
      </c>
      <c r="AI99" s="1">
        <v>-164000000</v>
      </c>
      <c r="AJ99" s="1">
        <v>-86000000</v>
      </c>
      <c r="AK99" s="1">
        <v>2807000000</v>
      </c>
      <c r="AL99" s="1">
        <v>-178000000</v>
      </c>
      <c r="AM99" s="1">
        <v>-266000000</v>
      </c>
      <c r="AT99" s="75" t="s">
        <v>138</v>
      </c>
      <c r="AU99" s="75"/>
    </row>
    <row r="100" spans="1:47" ht="20" x14ac:dyDescent="0.25">
      <c r="A100" s="6" t="s">
        <v>85</v>
      </c>
      <c r="B100" s="10" t="s">
        <v>91</v>
      </c>
      <c r="C100" s="10" t="s">
        <v>91</v>
      </c>
      <c r="D100" s="10" t="s">
        <v>91</v>
      </c>
      <c r="E100" s="10" t="s">
        <v>91</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T100" s="41" t="s">
        <v>139</v>
      </c>
      <c r="AU100" s="42">
        <f>AU87+AU88</f>
        <v>5457000000</v>
      </c>
    </row>
    <row r="101" spans="1:47" ht="20" x14ac:dyDescent="0.25">
      <c r="A101" s="5" t="s">
        <v>86</v>
      </c>
      <c r="B101" s="1" t="s">
        <v>91</v>
      </c>
      <c r="C101" s="1" t="s">
        <v>91</v>
      </c>
      <c r="D101" s="1" t="s">
        <v>91</v>
      </c>
      <c r="E101" s="1" t="s">
        <v>91</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91</v>
      </c>
      <c r="AE101" s="1" t="s">
        <v>91</v>
      </c>
      <c r="AF101" s="1" t="s">
        <v>91</v>
      </c>
      <c r="AG101" s="1" t="s">
        <v>91</v>
      </c>
      <c r="AH101" s="1" t="s">
        <v>91</v>
      </c>
      <c r="AI101" s="1" t="s">
        <v>91</v>
      </c>
      <c r="AJ101" s="1" t="s">
        <v>91</v>
      </c>
      <c r="AK101" s="1" t="s">
        <v>91</v>
      </c>
      <c r="AL101" s="1" t="s">
        <v>91</v>
      </c>
      <c r="AM101" s="1" t="s">
        <v>91</v>
      </c>
      <c r="AT101" s="43" t="s">
        <v>140</v>
      </c>
      <c r="AU101" s="44">
        <f>AU100/AU104</f>
        <v>4.4432936555433691E-2</v>
      </c>
    </row>
    <row r="102" spans="1:47" ht="20" x14ac:dyDescent="0.25">
      <c r="A102" s="6" t="s">
        <v>87</v>
      </c>
      <c r="B102" s="10" t="s">
        <v>91</v>
      </c>
      <c r="C102" s="10" t="s">
        <v>91</v>
      </c>
      <c r="D102" s="10" t="s">
        <v>91</v>
      </c>
      <c r="E102" s="10" t="s">
        <v>91</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T102" s="46" t="s">
        <v>141</v>
      </c>
      <c r="AU102" s="49" cm="1">
        <f t="array" ref="AU102">_FV(A1,"Market cap",TRUE)</f>
        <v>117357300000</v>
      </c>
    </row>
    <row r="103" spans="1:47" ht="20" x14ac:dyDescent="0.25">
      <c r="A103" s="5" t="s">
        <v>88</v>
      </c>
      <c r="B103" s="1" t="s">
        <v>91</v>
      </c>
      <c r="C103" s="1" t="s">
        <v>91</v>
      </c>
      <c r="D103" s="1" t="s">
        <v>91</v>
      </c>
      <c r="E103" s="1" t="s">
        <v>91</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T103" s="43" t="s">
        <v>142</v>
      </c>
      <c r="AU103" s="44">
        <f>AU102/AU104</f>
        <v>0.95556706344456632</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t="s">
        <v>91</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N104" s="74" t="s">
        <v>164</v>
      </c>
      <c r="AO104" s="74"/>
      <c r="AP104" s="74"/>
      <c r="AQ104" s="74"/>
      <c r="AR104" s="74"/>
      <c r="AT104" s="43" t="s">
        <v>143</v>
      </c>
      <c r="AU104" s="50">
        <f>AU100+AU102</f>
        <v>122814300000</v>
      </c>
    </row>
    <row r="105" spans="1:47" ht="21" customHeight="1" thickTop="1" x14ac:dyDescent="0.25">
      <c r="A105" s="14" t="s">
        <v>162</v>
      </c>
      <c r="B105" s="1" t="e">
        <f t="shared" ref="B105:AM105" si="20">(B22*(1-$AU$92))+B77+B88+B81</f>
        <v>#VALUE!</v>
      </c>
      <c r="C105" s="1" t="e">
        <f t="shared" si="20"/>
        <v>#VALUE!</v>
      </c>
      <c r="D105" s="1" t="e">
        <f t="shared" si="20"/>
        <v>#VALUE!</v>
      </c>
      <c r="E105" s="1" t="e">
        <f t="shared" si="20"/>
        <v>#VALUE!</v>
      </c>
      <c r="F105" s="1">
        <f t="shared" si="20"/>
        <v>-4201421.2396367937</v>
      </c>
      <c r="G105" s="1">
        <f t="shared" si="20"/>
        <v>-45824595.341492303</v>
      </c>
      <c r="H105" s="1">
        <f t="shared" si="20"/>
        <v>-8348322.1476510018</v>
      </c>
      <c r="I105" s="1">
        <f t="shared" si="20"/>
        <v>25239123.568890646</v>
      </c>
      <c r="J105" s="1">
        <f t="shared" si="20"/>
        <v>78349427.556257397</v>
      </c>
      <c r="K105" s="1">
        <f t="shared" si="20"/>
        <v>37159376.233714998</v>
      </c>
      <c r="L105" s="1">
        <f t="shared" si="20"/>
        <v>118228069.48282671</v>
      </c>
      <c r="M105" s="1">
        <f t="shared" si="20"/>
        <v>501690248.71693647</v>
      </c>
      <c r="N105" s="1">
        <f t="shared" si="20"/>
        <v>433752072.641137</v>
      </c>
      <c r="O105" s="1">
        <f t="shared" si="20"/>
        <v>359405724.43742597</v>
      </c>
      <c r="P105" s="1">
        <f t="shared" si="20"/>
        <v>785536083.69522309</v>
      </c>
      <c r="Q105" s="1">
        <f t="shared" si="20"/>
        <v>1586712277.9313068</v>
      </c>
      <c r="R105" s="1">
        <f t="shared" si="20"/>
        <v>614113386.10343456</v>
      </c>
      <c r="S105" s="1">
        <f t="shared" si="20"/>
        <v>-124359285.03750491</v>
      </c>
      <c r="T105" s="1">
        <f t="shared" si="20"/>
        <v>411655186.34030795</v>
      </c>
      <c r="U105" s="1">
        <f t="shared" si="20"/>
        <v>1319924489.9328859</v>
      </c>
      <c r="V105" s="1">
        <f t="shared" si="20"/>
        <v>953750755.62574029</v>
      </c>
      <c r="W105" s="1">
        <f t="shared" si="20"/>
        <v>1007644755.6257403</v>
      </c>
      <c r="X105" s="1">
        <f t="shared" si="20"/>
        <v>2040048655.3493881</v>
      </c>
      <c r="Y105" s="1">
        <f t="shared" si="20"/>
        <v>1407041310.6987762</v>
      </c>
      <c r="Z105" s="1">
        <f t="shared" si="20"/>
        <v>-486480524.2795105</v>
      </c>
      <c r="AA105" s="1">
        <f t="shared" si="20"/>
        <v>1547938479.2735887</v>
      </c>
      <c r="AB105" s="1">
        <f t="shared" si="20"/>
        <v>2231080142.1239638</v>
      </c>
      <c r="AC105" s="1">
        <f t="shared" si="20"/>
        <v>939911567.31148839</v>
      </c>
      <c r="AD105" s="1">
        <f t="shared" si="20"/>
        <v>135943545.20331621</v>
      </c>
      <c r="AE105" s="1">
        <f t="shared" si="20"/>
        <v>1578171733.1227794</v>
      </c>
      <c r="AF105" s="1">
        <f t="shared" si="20"/>
        <v>974720884.32688522</v>
      </c>
      <c r="AG105" s="1">
        <f t="shared" si="20"/>
        <v>2102848401.1054087</v>
      </c>
      <c r="AH105" s="1">
        <f t="shared" si="20"/>
        <v>3006318594.5519147</v>
      </c>
      <c r="AI105" s="1">
        <f t="shared" si="20"/>
        <v>3614160284.2479277</v>
      </c>
      <c r="AJ105" s="1">
        <f t="shared" si="20"/>
        <v>2683529806.553494</v>
      </c>
      <c r="AK105" s="1">
        <f t="shared" si="20"/>
        <v>3064075404.6585078</v>
      </c>
      <c r="AL105" s="1">
        <f t="shared" si="20"/>
        <v>4297347414.1334391</v>
      </c>
      <c r="AM105" s="1">
        <f t="shared" si="20"/>
        <v>4584287801.0264511</v>
      </c>
      <c r="AN105" s="27">
        <f>AM105*(1+$AU$107)</f>
        <v>4806092118.3370409</v>
      </c>
      <c r="AO105" s="27">
        <f>AN105*(1+$AU$107)</f>
        <v>5038628125.5660954</v>
      </c>
      <c r="AP105" s="27">
        <f>AO105*(1+$AU$107)</f>
        <v>5282415060.4358664</v>
      </c>
      <c r="AQ105" s="27">
        <f>AP105*(1+$AU$107)</f>
        <v>5537997283.2554741</v>
      </c>
      <c r="AR105" s="27">
        <f>AQ105*(1+$AU$107)</f>
        <v>5805945492.4419355</v>
      </c>
      <c r="AS105" s="68" t="s">
        <v>167</v>
      </c>
      <c r="AT105" s="75" t="s">
        <v>144</v>
      </c>
      <c r="AU105" s="75"/>
    </row>
    <row r="106" spans="1:47" ht="20" x14ac:dyDescent="0.25">
      <c r="A106" s="14" t="s">
        <v>106</v>
      </c>
      <c r="B106" s="1"/>
      <c r="C106" s="15" t="e">
        <f t="shared" ref="C106:AM106" si="21">(C107/B107)-1</f>
        <v>#VALUE!</v>
      </c>
      <c r="D106" s="15" t="e">
        <f t="shared" si="21"/>
        <v>#VALUE!</v>
      </c>
      <c r="E106" s="15" t="e">
        <f t="shared" si="21"/>
        <v>#VALUE!</v>
      </c>
      <c r="F106" s="15" t="e">
        <f t="shared" si="21"/>
        <v>#VALUE!</v>
      </c>
      <c r="G106" s="15">
        <f t="shared" si="21"/>
        <v>1.4981818181818181</v>
      </c>
      <c r="H106" s="15">
        <f t="shared" si="21"/>
        <v>-0.58515283842794763</v>
      </c>
      <c r="I106" s="15">
        <f t="shared" si="21"/>
        <v>-0.74035087719298254</v>
      </c>
      <c r="J106" s="15">
        <f t="shared" si="21"/>
        <v>-3.3783783783783785</v>
      </c>
      <c r="K106" s="15">
        <f t="shared" si="21"/>
        <v>-4.9431818181818183</v>
      </c>
      <c r="L106" s="15">
        <f t="shared" si="21"/>
        <v>0.77089337175792516</v>
      </c>
      <c r="M106" s="15">
        <f t="shared" si="21"/>
        <v>-2.9487388120423108</v>
      </c>
      <c r="N106" s="15">
        <f t="shared" si="21"/>
        <v>0.5127348643006262</v>
      </c>
      <c r="O106" s="15">
        <f t="shared" si="21"/>
        <v>1.5180789401048944E-2</v>
      </c>
      <c r="P106" s="15">
        <f t="shared" si="21"/>
        <v>0.9828711256117455</v>
      </c>
      <c r="Q106" s="15">
        <f t="shared" si="21"/>
        <v>0.73942136295077465</v>
      </c>
      <c r="R106" s="15">
        <f t="shared" si="21"/>
        <v>-0.31443211200100907</v>
      </c>
      <c r="S106" s="15">
        <f t="shared" si="21"/>
        <v>-0.91369508925080833</v>
      </c>
      <c r="T106" s="15">
        <f t="shared" si="21"/>
        <v>6.1474592981427696</v>
      </c>
      <c r="U106" s="15">
        <f t="shared" si="21"/>
        <v>1.6780309949783212</v>
      </c>
      <c r="V106" s="15">
        <f t="shared" si="21"/>
        <v>-0.27090250255099557</v>
      </c>
      <c r="W106" s="15">
        <f t="shared" si="21"/>
        <v>0.67662221119056021</v>
      </c>
      <c r="X106" s="15">
        <f t="shared" si="21"/>
        <v>0.10719859700668177</v>
      </c>
      <c r="Y106" s="15">
        <f t="shared" si="21"/>
        <v>-0.26842210282065626</v>
      </c>
      <c r="Z106" s="15">
        <f t="shared" si="21"/>
        <v>-0.94078430325005169</v>
      </c>
      <c r="AA106" s="15">
        <f t="shared" si="21"/>
        <v>17.445024810655525</v>
      </c>
      <c r="AB106" s="15">
        <f t="shared" si="21"/>
        <v>0.42685027146840082</v>
      </c>
      <c r="AC106" s="15">
        <f t="shared" si="21"/>
        <v>-0.23815967523680648</v>
      </c>
      <c r="AD106" s="15">
        <f t="shared" si="21"/>
        <v>-0.74777975133214913</v>
      </c>
      <c r="AE106" s="15">
        <f t="shared" si="21"/>
        <v>2.65962441314554</v>
      </c>
      <c r="AF106" s="15">
        <f t="shared" si="21"/>
        <v>-0.39191789608723537</v>
      </c>
      <c r="AG106" s="15">
        <f t="shared" si="21"/>
        <v>1.3343881856540083</v>
      </c>
      <c r="AH106" s="15">
        <f t="shared" si="21"/>
        <v>0.4749209218255761</v>
      </c>
      <c r="AI106" s="15">
        <f t="shared" si="21"/>
        <v>-3.0330882352941124E-2</v>
      </c>
      <c r="AJ106" s="15">
        <f t="shared" si="21"/>
        <v>-0.11342812006319114</v>
      </c>
      <c r="AK106" s="15">
        <f t="shared" si="21"/>
        <v>0.2052744119743406</v>
      </c>
      <c r="AL106" s="15">
        <f t="shared" si="21"/>
        <v>0.41159077468953287</v>
      </c>
      <c r="AM106" s="15">
        <f t="shared" si="21"/>
        <v>-3.3933808127356468E-2</v>
      </c>
      <c r="AN106" s="66">
        <f>(AN107/AM107)-1</f>
        <v>0.1795316565481353</v>
      </c>
      <c r="AO106" s="66">
        <f>(AO107/AN107)-1</f>
        <v>-4.6875E-2</v>
      </c>
      <c r="AP106" s="66">
        <f>(AP107/AO107)-1</f>
        <v>4.4165863066538025E-2</v>
      </c>
      <c r="AQ106" s="66">
        <f>(AQ107/AP107)-1</f>
        <v>0.18322866642039148</v>
      </c>
      <c r="AR106" s="66">
        <f>(AR107/AQ107)-1</f>
        <v>0.2357165157664689</v>
      </c>
      <c r="AS106" s="67">
        <f>SUM(AN106:AR106)/5</f>
        <v>0.11915354036030675</v>
      </c>
      <c r="AT106" s="51" t="s">
        <v>107</v>
      </c>
      <c r="AU106" s="52">
        <f>(AU101*AU93)+(AU103*AU98)</f>
        <v>0.10233231003984403</v>
      </c>
    </row>
    <row r="107" spans="1:47" ht="19" x14ac:dyDescent="0.25">
      <c r="A107" s="39" t="s">
        <v>163</v>
      </c>
      <c r="B107" s="1" t="s">
        <v>91</v>
      </c>
      <c r="C107" s="1" t="s">
        <v>91</v>
      </c>
      <c r="D107" s="1" t="s">
        <v>91</v>
      </c>
      <c r="E107" s="1" t="s">
        <v>91</v>
      </c>
      <c r="F107" s="1">
        <v>-27500000</v>
      </c>
      <c r="G107" s="1">
        <v>-68700000</v>
      </c>
      <c r="H107" s="1">
        <v>-28500000</v>
      </c>
      <c r="I107" s="1">
        <v>-7400000</v>
      </c>
      <c r="J107" s="1">
        <v>17600000</v>
      </c>
      <c r="K107" s="1">
        <v>-69400000</v>
      </c>
      <c r="L107" s="1">
        <v>-122900000</v>
      </c>
      <c r="M107" s="1">
        <v>239500000</v>
      </c>
      <c r="N107" s="1">
        <v>362300000</v>
      </c>
      <c r="O107" s="1">
        <v>367800000</v>
      </c>
      <c r="P107" s="1">
        <v>729300000</v>
      </c>
      <c r="Q107" s="1">
        <v>1268560000</v>
      </c>
      <c r="R107" s="1">
        <v>869684000</v>
      </c>
      <c r="S107" s="1">
        <v>75058000</v>
      </c>
      <c r="T107" s="1">
        <v>536474000</v>
      </c>
      <c r="U107" s="1">
        <v>1436694000</v>
      </c>
      <c r="V107" s="1">
        <v>1047490000</v>
      </c>
      <c r="W107" s="1">
        <v>1756245000</v>
      </c>
      <c r="X107" s="1">
        <v>1944512000</v>
      </c>
      <c r="Y107" s="1">
        <v>1422562000</v>
      </c>
      <c r="Z107" s="1">
        <v>84238000</v>
      </c>
      <c r="AA107" s="1">
        <v>1553772000</v>
      </c>
      <c r="AB107" s="1">
        <v>2217000000</v>
      </c>
      <c r="AC107" s="1">
        <v>1689000000</v>
      </c>
      <c r="AD107" s="1">
        <v>426000000</v>
      </c>
      <c r="AE107" s="1">
        <v>1559000000</v>
      </c>
      <c r="AF107" s="1">
        <v>948000000</v>
      </c>
      <c r="AG107" s="1">
        <v>2213000000</v>
      </c>
      <c r="AH107" s="1">
        <v>3264000000</v>
      </c>
      <c r="AI107" s="1">
        <v>3165000000</v>
      </c>
      <c r="AJ107" s="1">
        <v>2806000000</v>
      </c>
      <c r="AK107" s="1">
        <v>3382000000</v>
      </c>
      <c r="AL107" s="1">
        <v>4774000000</v>
      </c>
      <c r="AM107" s="1">
        <v>4612000000</v>
      </c>
      <c r="AN107" s="40">
        <v>5440000000</v>
      </c>
      <c r="AO107" s="40">
        <v>5185000000</v>
      </c>
      <c r="AP107" s="40">
        <v>5414000000</v>
      </c>
      <c r="AQ107" s="40">
        <v>6406000000</v>
      </c>
      <c r="AR107" s="40">
        <v>7916000000</v>
      </c>
      <c r="AS107" s="28" t="s">
        <v>165</v>
      </c>
      <c r="AT107" s="53" t="s">
        <v>145</v>
      </c>
      <c r="AU107" s="54">
        <f>(SUM(AN4:AR4)/5)</f>
        <v>4.8383593469180954E-2</v>
      </c>
    </row>
    <row r="108" spans="1:47" ht="19" x14ac:dyDescent="0.25">
      <c r="AN108" s="28"/>
      <c r="AO108" s="28"/>
      <c r="AP108" s="28"/>
      <c r="AQ108" s="28"/>
      <c r="AR108" s="64">
        <f>AR107*(1+AU108)/(AU109-AU108)</f>
        <v>98069882845.416351</v>
      </c>
      <c r="AS108" s="29" t="s">
        <v>146</v>
      </c>
      <c r="AT108" s="55" t="s">
        <v>147</v>
      </c>
      <c r="AU108" s="56">
        <v>0.02</v>
      </c>
    </row>
    <row r="109" spans="1:47" ht="19" x14ac:dyDescent="0.25">
      <c r="AN109" s="64">
        <f t="shared" ref="AN109:AQ109" si="22">AN108+AN107</f>
        <v>5440000000</v>
      </c>
      <c r="AO109" s="64">
        <f t="shared" si="22"/>
        <v>5185000000</v>
      </c>
      <c r="AP109" s="64">
        <f t="shared" si="22"/>
        <v>5414000000</v>
      </c>
      <c r="AQ109" s="64">
        <f t="shared" si="22"/>
        <v>6406000000</v>
      </c>
      <c r="AR109" s="64">
        <f>AR108+AR107</f>
        <v>105985882845.41635</v>
      </c>
      <c r="AS109" s="29" t="s">
        <v>143</v>
      </c>
      <c r="AT109" s="57" t="s">
        <v>148</v>
      </c>
      <c r="AU109" s="54">
        <f>AU106</f>
        <v>0.10233231003984403</v>
      </c>
    </row>
    <row r="110" spans="1:47" ht="19" x14ac:dyDescent="0.25">
      <c r="AN110" s="71" t="s">
        <v>149</v>
      </c>
      <c r="AO110" s="71"/>
    </row>
    <row r="111" spans="1:47" ht="20" x14ac:dyDescent="0.25">
      <c r="AN111" s="58" t="s">
        <v>150</v>
      </c>
      <c r="AO111" s="49">
        <f>NPV(AU109,AN109,AO109,AP109,AQ109,AR109)</f>
        <v>82697970739.999329</v>
      </c>
    </row>
    <row r="112" spans="1:47" ht="20" x14ac:dyDescent="0.25">
      <c r="AN112" s="58" t="s">
        <v>151</v>
      </c>
      <c r="AO112" s="49">
        <f>AM40</f>
        <v>2581000000</v>
      </c>
    </row>
    <row r="113" spans="40:41" ht="20" x14ac:dyDescent="0.25">
      <c r="AN113" s="58" t="s">
        <v>139</v>
      </c>
      <c r="AO113" s="49">
        <f>AU100</f>
        <v>5457000000</v>
      </c>
    </row>
    <row r="114" spans="40:41" ht="20" x14ac:dyDescent="0.25">
      <c r="AN114" s="58" t="s">
        <v>152</v>
      </c>
      <c r="AO114" s="49">
        <f>AO111+AO112-AO113</f>
        <v>79821970739.999329</v>
      </c>
    </row>
    <row r="115" spans="40:41" ht="20" x14ac:dyDescent="0.25">
      <c r="AN115" s="58" t="s">
        <v>153</v>
      </c>
      <c r="AO115" s="58">
        <f>AM34*(1+(5*AS16))</f>
        <v>696540700.0732367</v>
      </c>
    </row>
    <row r="116" spans="40:41" ht="20" x14ac:dyDescent="0.25">
      <c r="AN116" s="59" t="s">
        <v>154</v>
      </c>
      <c r="AO116" s="60">
        <f>AO114/AO115</f>
        <v>114.59771228243601</v>
      </c>
    </row>
    <row r="117" spans="40:41" ht="20" x14ac:dyDescent="0.25">
      <c r="AN117" s="58" t="s">
        <v>155</v>
      </c>
      <c r="AO117" s="61" cm="1">
        <f t="array" ref="AO117">_FV(A1,"Price")</f>
        <v>140.29</v>
      </c>
    </row>
    <row r="118" spans="40:41" ht="20" x14ac:dyDescent="0.25">
      <c r="AN118" s="59" t="s">
        <v>156</v>
      </c>
      <c r="AO118" s="62">
        <f>AO116/AO117-1</f>
        <v>-0.18313698565517134</v>
      </c>
    </row>
    <row r="119" spans="40:41" ht="20" x14ac:dyDescent="0.25">
      <c r="AN119" s="59" t="s">
        <v>157</v>
      </c>
      <c r="AO119" s="63" t="str">
        <f>IF(AO116&gt;AO117,"BUY","SELL")</f>
        <v>SELL</v>
      </c>
    </row>
  </sheetData>
  <mergeCells count="7">
    <mergeCell ref="AN110:AO110"/>
    <mergeCell ref="AT84:AU84"/>
    <mergeCell ref="AN104:AR104"/>
    <mergeCell ref="AT85:AU85"/>
    <mergeCell ref="AT105:AU105"/>
    <mergeCell ref="AT99:AU99"/>
    <mergeCell ref="AT94:AU9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 ref="AS107" r:id="rId79" xr:uid="{53B67333-27B8-354C-93D1-7D1CAA1F0CA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2023-03-12T20:17:15Z</dcterms:created>
  <dcterms:modified xsi:type="dcterms:W3CDTF">2023-10-08T01:38:05Z</dcterms:modified>
</cp:coreProperties>
</file>