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C1BDFC9-BFF5-E54A-92B8-F3EB5288262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 l="1"/>
  <c r="U7" i="1"/>
  <c r="T7" i="1"/>
  <c r="S7" i="1"/>
  <c r="N6" i="1"/>
  <c r="T22" i="1"/>
  <c r="N106" i="1" l="1"/>
  <c r="R106" i="1"/>
  <c r="Q106" i="1"/>
  <c r="P106" i="1"/>
  <c r="O106" i="1"/>
  <c r="S106" i="1"/>
  <c r="N109" i="1"/>
  <c r="O109" i="1"/>
  <c r="P109" i="1"/>
  <c r="Q109" i="1"/>
  <c r="R31" i="1"/>
  <c r="R30" i="1"/>
  <c r="Q30" i="1"/>
  <c r="P30" i="1"/>
  <c r="O30" i="1"/>
  <c r="N30" i="1"/>
  <c r="R29" i="1"/>
  <c r="Q29" i="1"/>
  <c r="P29" i="1"/>
  <c r="O29" i="1"/>
  <c r="N29" i="1"/>
  <c r="R21" i="1"/>
  <c r="Q21" i="1"/>
  <c r="P21" i="1"/>
  <c r="O21" i="1"/>
  <c r="N21" i="1"/>
  <c r="R20" i="1"/>
  <c r="Q20" i="1"/>
  <c r="P20" i="1"/>
  <c r="O20" i="1"/>
  <c r="N20" i="1"/>
  <c r="O117" i="1" l="1" a="1"/>
  <c r="O117" i="1" s="1"/>
  <c r="U96" i="1" a="1"/>
  <c r="U96" i="1" s="1"/>
  <c r="U13" i="1"/>
  <c r="U102" i="1" a="1"/>
  <c r="U102" i="1" s="1"/>
  <c r="V22" i="1" s="1"/>
  <c r="S19" i="1"/>
  <c r="O112" i="1"/>
  <c r="U91" i="1"/>
  <c r="U90" i="1"/>
  <c r="U88" i="1"/>
  <c r="U87" i="1"/>
  <c r="U86" i="1"/>
  <c r="V13" i="1"/>
  <c r="T13" i="1"/>
  <c r="S13" i="1"/>
  <c r="T10" i="1"/>
  <c r="R4" i="1"/>
  <c r="Q4" i="1"/>
  <c r="P4" i="1"/>
  <c r="O4" i="1"/>
  <c r="N4" i="1"/>
  <c r="L13" i="1"/>
  <c r="M13" i="1"/>
  <c r="L20" i="1"/>
  <c r="M20" i="1"/>
  <c r="T4" i="1" s="1"/>
  <c r="L9" i="1"/>
  <c r="M9" i="1"/>
  <c r="S10" i="1" s="1"/>
  <c r="L29" i="1"/>
  <c r="M29" i="1"/>
  <c r="U4" i="1" s="1"/>
  <c r="L35" i="1"/>
  <c r="M35" i="1"/>
  <c r="L80" i="1"/>
  <c r="M80" i="1"/>
  <c r="U10" i="1" s="1"/>
  <c r="L89" i="1"/>
  <c r="M89" i="1"/>
  <c r="V10" i="1" s="1"/>
  <c r="L106" i="1"/>
  <c r="M106" i="1"/>
  <c r="V4" i="1" s="1"/>
  <c r="AT105" i="1"/>
  <c r="K106" i="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S16" i="1" s="1"/>
  <c r="O115" i="1" s="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S4" i="1" l="1"/>
  <c r="U92" i="1"/>
  <c r="C105" i="1" s="1"/>
  <c r="L105" i="1"/>
  <c r="G105" i="1"/>
  <c r="H105" i="1"/>
  <c r="I105" i="1"/>
  <c r="E105" i="1"/>
  <c r="B105" i="1"/>
  <c r="F105" i="1"/>
  <c r="J105" i="1"/>
  <c r="U89" i="1"/>
  <c r="U93" i="1" s="1"/>
  <c r="U100" i="1"/>
  <c r="U104" i="1" s="1"/>
  <c r="U103" i="1" s="1"/>
  <c r="V19" i="1"/>
  <c r="U22" i="1"/>
  <c r="U19" i="1"/>
  <c r="T16" i="1"/>
  <c r="T19" i="1"/>
  <c r="U107" i="1"/>
  <c r="V16" i="1"/>
  <c r="U16" i="1"/>
  <c r="M105" i="1" l="1"/>
  <c r="N105" i="1" s="1"/>
  <c r="O105" i="1" s="1"/>
  <c r="P105" i="1" s="1"/>
  <c r="Q105" i="1" s="1"/>
  <c r="R105" i="1" s="1"/>
  <c r="D105" i="1"/>
  <c r="K105" i="1"/>
  <c r="O113" i="1"/>
  <c r="U101" i="1"/>
  <c r="U95" i="1" l="1"/>
  <c r="U98" i="1" s="1"/>
  <c r="U106" i="1" s="1"/>
  <c r="U109" i="1" s="1"/>
  <c r="R108" i="1" s="1"/>
  <c r="R109" i="1" s="1"/>
  <c r="O111" i="1" s="1"/>
  <c r="O114" i="1" s="1"/>
  <c r="O116" i="1" s="1"/>
  <c r="O118" i="1" l="1"/>
  <c r="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<sst xmlns="http://schemas.openxmlformats.org/spreadsheetml/2006/main" count="409" uniqueCount="169">
  <si>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</si>
  <si>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</si>
  <si>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</si>
  <si>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</si>
  <si>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</si>
  <si>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</si>
  <si>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</si>
  <si>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</si>
  <si>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</si>
  <si>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</si>
  <si>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</si>
  <si>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</si>
  <si>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</si>
  <si>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</si>
  <si>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</si>
  <si>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</si>
  <si>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</si>
  <si>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</si>
  <si>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</si>
  <si>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</si>
  <si>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</si>
  <si>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</si>
  <si>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</si>
  <si>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</si>
  <si>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</si>
  <si>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</si>
  <si>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</si>
  <si>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</si>
  <si>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</si>
  <si>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</si>
  <si>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</si>
  <si>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</si>
  <si>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</si>
  <si>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</si>
  <si>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</si>
  <si>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</si>
  <si>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</si>
  <si>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</si>
  <si>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</si>
  <si>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</si>
  <si>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</si>
  <si>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</si>
  <si>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</si>
  <si>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</si>
  <si>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</si>
  <si>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</si>
  <si>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</si>
  <si>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</si>
  <si>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</si>
  <si>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</si>
  <si>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</si>
  <si>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</si>
  <si>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</si>
  <si>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</si>
  <si>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</si>
  <si>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</si>
  <si>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</si>
  <si>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</si>
  <si>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</si>
  <si>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</si>
  <si>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</si>
  <si>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</si>
  <si>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</si>
  <si>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</si>
  <si>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</si>
  <si>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</si>
  <si>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</si>
  <si>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</si>
  <si>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</si>
  <si>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</si>
  <si>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</si>
  <si>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</si>
  <si>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</si>
  <si>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</si>
  <si>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</si>
  <si>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</si>
  <si>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</si>
  <si>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</si>
  <si>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</si>
  <si>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</si>
  <si>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</si>
  <si>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</si>
  <si>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</si>
  <si>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</si>
  <si>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</si>
  <si>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</si>
  <si>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</si>
  <si>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</si>
  <si>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</si>
  <si>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</si>
  <si>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</si>
  <si>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</si>
  <si>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</si>
  <si>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</si>
  <si>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</si>
  <si>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</si>
  <si>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</si>
  <si>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</si>
  <si>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</si>
  <si>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</si>
  <si>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</si>
  <si>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</si>
  <si>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</si>
  <si>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</si>
  <si>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</si>
  <si>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</si>
  <si>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</si>
  <si>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</si>
  <si>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</si>
  <si>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</si>
  <si>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</si>
  <si>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</si>
  <si>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</si>
  <si>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</si>
  <si>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</si>
  <si>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</si>
  <si>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</si>
  <si>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</si>
  <si>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</si>
  <si>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</si>
  <si>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</si>
  <si>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</si>
  <si>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</si>
  <si>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</si>
  <si>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</si>
  <si>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</si>
  <si>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</si>
  <si>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</si>
  <si>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</si>
  <si>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</si>
  <si>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</si>
  <si>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</si>
  <si>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</si>
  <si>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</si>
  <si>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</si>
  <si>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</si>
  <si>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</si>
  <si>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</si>
  <si>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</si>
  <si>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</si>
  <si>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</si>
  <si>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</si>
  <si>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</si>
  <si>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</si>
  <si>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</si>
  <si>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</si>
  <si>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</si>
  <si>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</si>
  <si>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</si>
  <si>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</si>
  <si>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</si>
  <si>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</si>
  <si>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</si>
  <si>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</si>
  <si>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</si>
  <si>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</si>
  <si>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</si>
  <si>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</si>
  <si>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</si>
  <si>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</si>
  <si>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Dividend Yield</t>
  </si>
  <si>
    <t>Unlevered FCF</t>
  </si>
  <si>
    <t>Levered FCF</t>
  </si>
  <si>
    <t>Unlevered FCF Proj</t>
  </si>
  <si>
    <t>Unlevered FCF Forecast</t>
  </si>
  <si>
    <t>5Y Fwd FCF CAGR</t>
  </si>
  <si>
    <t>5Y Fwd Income CAGR</t>
  </si>
  <si>
    <t>Gross Margin</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</si>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</sst>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9" fontId="11" fillId="0" borderId="0" xfId="0" applyNumberFormat="1" applyFont="1"/>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169" fontId="11" fillId="0" borderId="8" xfId="0" applyNumberFormat="1" applyFont="1" applyBorder="1" applyAlignment="1">
      <alignment horizontal="center" vertical="center"/>
    </xf>
    <xf numFmtId="9" fontId="11" fillId="0" borderId="11" xfId="0" applyNumberFormat="1" applyFont="1" applyBorder="1" applyAlignment="1">
      <alignment horizontal="center" vertical="center"/>
    </xf>
    <xf numFmtId="169" fontId="11" fillId="0" borderId="11"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9" fontId="1" fillId="0" borderId="0" xfId="0" applyNumberFormat="1" applyFont="1" applyAlignment="1">
      <alignment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Arista Networks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03150912106128E-2"/>
          <c:y val="0.14466595310846286"/>
          <c:w val="0.82502155887230522"/>
          <c:h val="0.638551235345389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1'!$B$3:$R$3</c:f>
              <c:numCache>
                <c:formatCode>#,###,,;\(#,###,,\);\ \-\ \-</c:formatCode>
                <c:ptCount val="17"/>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pt idx="12">
                  <c:v>5532000000</c:v>
                </c:pt>
                <c:pt idx="13">
                  <c:v>6148000000</c:v>
                </c:pt>
                <c:pt idx="14">
                  <c:v>6892000000</c:v>
                </c:pt>
                <c:pt idx="15">
                  <c:v>7591000000</c:v>
                </c:pt>
                <c:pt idx="16">
                  <c:v>7816000000</c:v>
                </c:pt>
              </c:numCache>
            </c:numRef>
          </c:val>
          <c:extLst>
            <c:ext xmlns:c16="http://schemas.microsoft.com/office/drawing/2014/chart" uri="{C3380CC4-5D6E-409C-BE32-E72D297353CC}">
              <c16:uniqueId val="{00000000-4E62-E64D-91A2-F4B4F2DBB85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1'!$B$28:$R$28</c:f>
              <c:numCache>
                <c:formatCode>#,###,,;\(#,###,,\);\ \-\ \-</c:formatCode>
                <c:ptCount val="17"/>
                <c:pt idx="0">
                  <c:v>34035000</c:v>
                </c:pt>
                <c:pt idx="1">
                  <c:v>21349000</c:v>
                </c:pt>
                <c:pt idx="2">
                  <c:v>42460000</c:v>
                </c:pt>
                <c:pt idx="3">
                  <c:v>86850000</c:v>
                </c:pt>
                <c:pt idx="4">
                  <c:v>121102000</c:v>
                </c:pt>
                <c:pt idx="5">
                  <c:v>184189000</c:v>
                </c:pt>
                <c:pt idx="6">
                  <c:v>423201000</c:v>
                </c:pt>
                <c:pt idx="7">
                  <c:v>328115000</c:v>
                </c:pt>
                <c:pt idx="8">
                  <c:v>859867000</c:v>
                </c:pt>
                <c:pt idx="9">
                  <c:v>634557000</c:v>
                </c:pt>
                <c:pt idx="10">
                  <c:v>840854000</c:v>
                </c:pt>
                <c:pt idx="11">
                  <c:v>1352446000</c:v>
                </c:pt>
                <c:pt idx="12">
                  <c:v>1852000000</c:v>
                </c:pt>
                <c:pt idx="13">
                  <c:v>2039000000</c:v>
                </c:pt>
                <c:pt idx="14">
                  <c:v>2273000000</c:v>
                </c:pt>
                <c:pt idx="15">
                  <c:v>2705000000</c:v>
                </c:pt>
                <c:pt idx="16">
                  <c:v>3000000000</c:v>
                </c:pt>
              </c:numCache>
            </c:numRef>
          </c:val>
          <c:extLst>
            <c:ext xmlns:c16="http://schemas.microsoft.com/office/drawing/2014/chart" uri="{C3380CC4-5D6E-409C-BE32-E72D297353CC}">
              <c16:uniqueId val="{00000001-4E62-E64D-91A2-F4B4F2DBB85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numCache>
            </c:numRef>
          </c:cat>
          <c:val>
            <c:numRef>
              <c:f>'Sheet 1'!$B$107:$R$107</c:f>
              <c:numCache>
                <c:formatCode>#,###,,;\(#,###,,\);\ \-\ \-</c:formatCode>
                <c:ptCount val="17"/>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pt idx="12">
                  <c:v>1794000000</c:v>
                </c:pt>
                <c:pt idx="13">
                  <c:v>2139000000</c:v>
                </c:pt>
                <c:pt idx="14">
                  <c:v>2309000000</c:v>
                </c:pt>
                <c:pt idx="15">
                  <c:v>2792000000</c:v>
                </c:pt>
                <c:pt idx="16">
                  <c:v>2875000000</c:v>
                </c:pt>
              </c:numCache>
            </c:numRef>
          </c:val>
          <c:extLst>
            <c:ext xmlns:c16="http://schemas.microsoft.com/office/drawing/2014/chart" uri="{C3380CC4-5D6E-409C-BE32-E72D297353CC}">
              <c16:uniqueId val="{00000002-4E62-E64D-91A2-F4B4F2DBB859}"/>
            </c:ext>
          </c:extLst>
        </c:ser>
        <c:dLbls>
          <c:showLegendKey val="0"/>
          <c:showVal val="0"/>
          <c:showCatName val="0"/>
          <c:showSerName val="0"/>
          <c:showPercent val="0"/>
          <c:showBubbleSize val="0"/>
        </c:dLbls>
        <c:gapWidth val="150"/>
        <c:overlap val="100"/>
        <c:axId val="407282176"/>
        <c:axId val="407284448"/>
      </c:barChart>
      <c:catAx>
        <c:axId val="4072821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07284448"/>
        <c:crosses val="autoZero"/>
        <c:auto val="1"/>
        <c:lblAlgn val="ctr"/>
        <c:lblOffset val="100"/>
        <c:noMultiLvlLbl val="0"/>
      </c:catAx>
      <c:valAx>
        <c:axId val="4072844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07282176"/>
        <c:crosses val="autoZero"/>
        <c:crossBetween val="between"/>
      </c:valAx>
      <c:spPr>
        <a:noFill/>
        <a:ln>
          <a:noFill/>
        </a:ln>
        <a:effectLst/>
      </c:spPr>
    </c:plotArea>
    <c:legend>
      <c:legendPos val="b"/>
      <c:layout>
        <c:manualLayout>
          <c:xMode val="edge"/>
          <c:yMode val="edge"/>
          <c:x val="0.34452666770775087"/>
          <c:y val="0.88574696742744852"/>
          <c:w val="0.31627802321617776"/>
          <c:h val="6.08339545306902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31749</xdr:colOff>
      <xdr:row>109</xdr:row>
      <xdr:rowOff>17463</xdr:rowOff>
    </xdr:from>
    <xdr:to>
      <xdr:col>20</xdr:col>
      <xdr:colOff>1587499</xdr:colOff>
      <xdr:row>127</xdr:row>
      <xdr:rowOff>190500</xdr:rowOff>
    </xdr:to>
    <xdr:graphicFrame macro="">
      <xdr:nvGraphicFramePr>
        <xdr:cNvPr id="2" name="Chart 1">
          <a:extLst>
            <a:ext uri="{FF2B5EF4-FFF2-40B4-BE49-F238E27FC236}">
              <a16:creationId xmlns:a16="http://schemas.microsoft.com/office/drawing/2014/main" id="{D7E5C2F5-8DEC-E162-8AD5-EF37FB0DB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198.7</v>
    <v>104.06</v>
    <v>1.1405000000000001</v>
    <v>-2.72</v>
    <v>-1.4006000000000001E-2</v>
    <v>-1.1000000000000001</v>
    <v>-5.7450000000000001E-3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197.31</v>
    <v>Communications &amp; Networking</v>
    <v>Stock</v>
    <v>45218.995525508595</v>
    <v>0</v>
    <v>190.67</v>
    <v>59278493288</v>
    <v>ARISTA NETWORKS, INC.</v>
    <v>ARISTA NETWORKS, INC.</v>
    <v>195</v>
    <v>35.853299999999997</v>
    <v>194.2</v>
    <v>191.48</v>
    <v>190.38</v>
    <v>309580600</v>
    <v>ANET</v>
    <v>ARISTA NETWORKS, INC. (XNYS:ANET)</v>
    <v>1645980</v>
    <v>1724295</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hyperlink" Target="https://finbox.com/NASDAQGS:TXN/explorer/fcf_unlev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K89" activePane="bottomRight" state="frozen"/>
      <selection pane="topRight"/>
      <selection pane="bottomLeft"/>
      <selection pane="bottomRight" activeCell="O100" sqref="O100"/>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5">
        <v>2023</v>
      </c>
      <c r="O1" s="25">
        <v>2024</v>
      </c>
      <c r="P1" s="25">
        <v>2025</v>
      </c>
      <c r="Q1" s="25">
        <v>2026</v>
      </c>
      <c r="R1" s="25">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6">
        <v>5532000000</v>
      </c>
      <c r="O3" s="26">
        <v>6148000000</v>
      </c>
      <c r="P3" s="26">
        <v>6892000000</v>
      </c>
      <c r="Q3" s="26">
        <v>7591000000</v>
      </c>
      <c r="R3" s="26">
        <v>7816000000</v>
      </c>
      <c r="S3" s="18" t="s">
        <v>108</v>
      </c>
      <c r="T3" s="19" t="s">
        <v>109</v>
      </c>
      <c r="U3" s="19" t="s">
        <v>110</v>
      </c>
      <c r="V3" s="19" t="s">
        <v>111</v>
      </c>
    </row>
    <row r="4" spans="1:42" ht="19" x14ac:dyDescent="0.25">
      <c r="A4" s="14" t="s">
        <v>93</v>
      </c>
      <c r="B4" s="1"/>
      <c r="C4" s="38">
        <f>(C3/B3)-1</f>
        <v>0.38298724329271772</v>
      </c>
      <c r="D4" s="38">
        <f>(D3/C3)-1</f>
        <v>0.8676786896095301</v>
      </c>
      <c r="E4" s="38">
        <f>(E3/D3)-1</f>
        <v>0.61701880273735954</v>
      </c>
      <c r="F4" s="38">
        <f t="shared" ref="F4:R4" si="0">(F3/E3)-1</f>
        <v>0.43397088884551782</v>
      </c>
      <c r="G4" s="38">
        <f t="shared" si="0"/>
        <v>0.3481126229866367</v>
      </c>
      <c r="H4" s="38">
        <f t="shared" si="0"/>
        <v>0.4578764699995661</v>
      </c>
      <c r="I4" s="38">
        <f t="shared" si="0"/>
        <v>0.30688087494365757</v>
      </c>
      <c r="J4" s="38">
        <f t="shared" si="0"/>
        <v>0.12054510407094265</v>
      </c>
      <c r="K4" s="38">
        <f t="shared" si="0"/>
        <v>-3.8658384722151884E-2</v>
      </c>
      <c r="L4" s="38">
        <f t="shared" si="0"/>
        <v>0.27206978863539866</v>
      </c>
      <c r="M4" s="38">
        <f t="shared" si="0"/>
        <v>0.48617876912671032</v>
      </c>
      <c r="N4" s="16">
        <f t="shared" si="0"/>
        <v>0.2626360609041587</v>
      </c>
      <c r="O4" s="16">
        <f t="shared" si="0"/>
        <v>0.11135213304410696</v>
      </c>
      <c r="P4" s="16">
        <f t="shared" si="0"/>
        <v>0.12101496421600522</v>
      </c>
      <c r="Q4" s="16">
        <f t="shared" si="0"/>
        <v>0.1014219384793964</v>
      </c>
      <c r="R4" s="16">
        <f t="shared" si="0"/>
        <v>2.9640363588460117E-2</v>
      </c>
      <c r="S4" s="63">
        <f>(M4+L4+K4)/3</f>
        <v>0.23986339101331902</v>
      </c>
      <c r="T4" s="63">
        <f>(M20+L20+K20)/3</f>
        <v>0.25089335709787719</v>
      </c>
      <c r="U4" s="63">
        <f>(M29+L29+K29)/3</f>
        <v>0.22383153679403309</v>
      </c>
      <c r="V4" s="63">
        <f>(M106+L106+K106)/3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c r="S5" s="42"/>
      <c r="T5" s="42"/>
      <c r="U5" s="42"/>
      <c r="V5" s="42"/>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N6" s="27">
        <f>N3*N7</f>
        <v>3352392000</v>
      </c>
      <c r="S6" s="74" t="s">
        <v>167</v>
      </c>
      <c r="T6" s="75" t="s">
        <v>112</v>
      </c>
      <c r="U6" s="75" t="s">
        <v>113</v>
      </c>
      <c r="V6" s="75" t="s">
        <v>114</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N7" s="2">
        <v>0.60599999999999998</v>
      </c>
      <c r="S7" s="63">
        <f>N7</f>
        <v>0.60599999999999998</v>
      </c>
      <c r="T7" s="64">
        <f>N21</f>
        <v>0.42245119305856832</v>
      </c>
      <c r="U7" s="64">
        <f>N30</f>
        <v>0.33477946493130872</v>
      </c>
      <c r="V7" s="64">
        <f>N107/N3</f>
        <v>0.324295010845987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c r="S8" s="42"/>
      <c r="T8" s="42"/>
      <c r="U8" s="42"/>
      <c r="V8" s="42"/>
    </row>
    <row r="9" spans="1:42" ht="19" customHeight="1" x14ac:dyDescent="0.25">
      <c r="A9" s="14" t="s">
        <v>94</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95</v>
      </c>
      <c r="T9" s="19" t="s">
        <v>96</v>
      </c>
      <c r="U9" s="19" t="s">
        <v>97</v>
      </c>
      <c r="V9" s="19" t="s">
        <v>98</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63">
        <f>M9</f>
        <v>0.16625027674371365</v>
      </c>
      <c r="T10" s="64">
        <f>M13</f>
        <v>9.5906475460535781E-2</v>
      </c>
      <c r="U10" s="64">
        <f>M80</f>
        <v>5.2708893002321226E-2</v>
      </c>
      <c r="V10" s="64">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c r="S11" s="42"/>
      <c r="T11" s="42"/>
      <c r="U11" s="42"/>
      <c r="V11" s="42"/>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115</v>
      </c>
      <c r="T12" s="19" t="s">
        <v>116</v>
      </c>
      <c r="U12" s="19" t="s">
        <v>117</v>
      </c>
      <c r="V12" s="19" t="s">
        <v>118</v>
      </c>
    </row>
    <row r="13" spans="1:42" ht="19" x14ac:dyDescent="0.25">
      <c r="A13" s="14" t="s">
        <v>99</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63">
        <f>M28/M72</f>
        <v>0.27681044328280618</v>
      </c>
      <c r="T13" s="64">
        <f>M28/M54</f>
        <v>0.19961094605344917</v>
      </c>
      <c r="U13" s="64">
        <f>M22/(M72+M56+M61)</f>
        <v>0.30977138146417776</v>
      </c>
      <c r="V13" s="65">
        <f>M67/M72</f>
        <v>0.38674981886356846</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S14" s="42"/>
      <c r="T14" s="42"/>
      <c r="U14" s="42"/>
      <c r="V14" s="42"/>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119</v>
      </c>
      <c r="T15" s="19" t="s">
        <v>120</v>
      </c>
      <c r="U15" s="19" t="s">
        <v>121</v>
      </c>
      <c r="V15" s="19" t="s">
        <v>122</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66">
        <f>(M35+L35+K35+J35+I35)/5</f>
        <v>4.3644380616636029E-4</v>
      </c>
      <c r="T16" s="67">
        <f>U102/M3</f>
        <v>13.529855976408882</v>
      </c>
      <c r="U16" s="67">
        <f>U102/M28</f>
        <v>43.830580509683934</v>
      </c>
      <c r="V16" s="68">
        <f>U102/M107</f>
        <v>132.26816956996134</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7215000</v>
      </c>
      <c r="S17" s="42"/>
      <c r="T17" s="42"/>
      <c r="U17" s="42"/>
      <c r="V17" s="42"/>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123</v>
      </c>
      <c r="T18" s="19" t="s">
        <v>157</v>
      </c>
      <c r="U18" s="19" t="s">
        <v>158</v>
      </c>
      <c r="V18" s="19" t="s">
        <v>159</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N19" s="27">
        <v>2337000000</v>
      </c>
      <c r="O19" s="27">
        <v>2514000000</v>
      </c>
      <c r="P19" s="27">
        <v>2662000000</v>
      </c>
      <c r="Q19" s="27">
        <v>3359000000</v>
      </c>
      <c r="R19" s="27">
        <v>3700000000</v>
      </c>
      <c r="S19" s="69">
        <f>M40-M56-M61</f>
        <v>2979765000</v>
      </c>
      <c r="T19" s="67">
        <f>U102/N3</f>
        <v>10.7155627780188</v>
      </c>
      <c r="U19" s="67">
        <f>U102/N28</f>
        <v>32.007825749460046</v>
      </c>
      <c r="V19" s="68">
        <f>U102/N107</f>
        <v>33.042638399108135</v>
      </c>
    </row>
    <row r="20" spans="1:47" ht="19" customHeight="1" x14ac:dyDescent="0.25">
      <c r="A20" s="14" t="s">
        <v>100</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R20" si="5">(M19/L19)-1</f>
        <v>0.67666537168109353</v>
      </c>
      <c r="N20" s="16">
        <f t="shared" si="5"/>
        <v>0.41015638435178969</v>
      </c>
      <c r="O20" s="16">
        <f t="shared" si="5"/>
        <v>7.5738125802310652E-2</v>
      </c>
      <c r="P20" s="16">
        <f t="shared" si="5"/>
        <v>5.8870326173428689E-2</v>
      </c>
      <c r="Q20" s="16">
        <f t="shared" si="5"/>
        <v>0.26183320811419986</v>
      </c>
      <c r="R20" s="16">
        <f t="shared" si="5"/>
        <v>0.10151830902054182</v>
      </c>
      <c r="S20" s="70"/>
      <c r="T20" s="42"/>
      <c r="U20" s="42"/>
      <c r="V20" s="42"/>
      <c r="AH20" s="15"/>
      <c r="AI20" s="15"/>
      <c r="AJ20" s="15"/>
      <c r="AK20" s="15"/>
      <c r="AL20" s="15"/>
      <c r="AT20" s="15"/>
      <c r="AU20" s="15"/>
    </row>
    <row r="21" spans="1:47" ht="20"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c r="N21" s="28">
        <f>N19/N3</f>
        <v>0.42245119305856832</v>
      </c>
      <c r="O21" s="28">
        <f t="shared" ref="O21:R21" si="6">O19/O3</f>
        <v>0.40891346779440468</v>
      </c>
      <c r="P21" s="28">
        <f t="shared" si="6"/>
        <v>0.38624492164828789</v>
      </c>
      <c r="Q21" s="28">
        <f t="shared" si="6"/>
        <v>0.44249769463838756</v>
      </c>
      <c r="R21" s="28">
        <f t="shared" si="6"/>
        <v>0.47338792221084952</v>
      </c>
      <c r="S21" s="42"/>
      <c r="T21" s="73" t="s">
        <v>166</v>
      </c>
      <c r="U21" s="18" t="s">
        <v>160</v>
      </c>
      <c r="V21" s="19" t="s">
        <v>168</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c r="S22" s="42"/>
      <c r="T22" s="17">
        <f>SUM(N29:R29)/5</f>
        <v>0.17684386197874469</v>
      </c>
      <c r="U22" s="71">
        <f>M98/U102</f>
        <v>0</v>
      </c>
      <c r="V22" s="72">
        <f>N107/U102</f>
        <v>3.0263927109010498E-2</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c r="N28" s="29">
        <v>1852000000</v>
      </c>
      <c r="O28" s="29">
        <v>2039000000</v>
      </c>
      <c r="P28" s="29">
        <v>2273000000</v>
      </c>
      <c r="Q28" s="29">
        <v>2705000000</v>
      </c>
      <c r="R28" s="29">
        <v>3000000000</v>
      </c>
    </row>
    <row r="29" spans="1:47" ht="20" customHeight="1" thickTop="1" x14ac:dyDescent="0.25">
      <c r="A29" s="14" t="s">
        <v>101</v>
      </c>
      <c r="B29" s="1"/>
      <c r="C29" s="15">
        <f>(C28/B28)-1</f>
        <v>-0.37273395034523282</v>
      </c>
      <c r="D29" s="15">
        <f>(D28/C28)-1</f>
        <v>0.9888519368588693</v>
      </c>
      <c r="E29" s="15">
        <f>(E28/D28)-1</f>
        <v>1.0454545454545454</v>
      </c>
      <c r="F29" s="15">
        <f t="shared" ref="F29:K29" si="7">(F28/E28)-1</f>
        <v>0.39438111686816346</v>
      </c>
      <c r="G29" s="15">
        <f t="shared" si="7"/>
        <v>0.52094102492114081</v>
      </c>
      <c r="H29" s="15">
        <f t="shared" si="7"/>
        <v>1.2976453534141563</v>
      </c>
      <c r="I29" s="15">
        <f t="shared" si="7"/>
        <v>-0.22468283392525068</v>
      </c>
      <c r="J29" s="15">
        <f t="shared" si="7"/>
        <v>1.6206269143440561</v>
      </c>
      <c r="K29" s="15">
        <f t="shared" si="7"/>
        <v>-0.26202889516634553</v>
      </c>
      <c r="L29" s="15">
        <f t="shared" ref="L29" si="8">(L28/K28)-1</f>
        <v>0.32510397017131631</v>
      </c>
      <c r="M29" s="15">
        <f t="shared" ref="M29:R29" si="9">(M28/L28)-1</f>
        <v>0.60841953537712845</v>
      </c>
      <c r="N29" s="16">
        <f t="shared" si="9"/>
        <v>0.36937075491368976</v>
      </c>
      <c r="O29" s="16">
        <f t="shared" si="9"/>
        <v>0.1009719222462202</v>
      </c>
      <c r="P29" s="16">
        <f t="shared" si="9"/>
        <v>0.11476213830308968</v>
      </c>
      <c r="Q29" s="16">
        <f t="shared" si="9"/>
        <v>0.19005719313682357</v>
      </c>
      <c r="R29" s="16">
        <f t="shared" si="9"/>
        <v>0.10905730129390023</v>
      </c>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c r="N30" s="30">
        <f>N28/N3</f>
        <v>0.33477946493130872</v>
      </c>
      <c r="O30" s="30">
        <f t="shared" ref="O30:R30" si="10">O28/O3</f>
        <v>0.33165256994144438</v>
      </c>
      <c r="P30" s="30">
        <f t="shared" si="10"/>
        <v>0.32980266976204292</v>
      </c>
      <c r="Q30" s="30">
        <f t="shared" si="10"/>
        <v>0.35634303780793042</v>
      </c>
      <c r="R30" s="30">
        <f t="shared" si="10"/>
        <v>0.38382804503582396</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c r="N31" s="31">
        <v>6.01</v>
      </c>
      <c r="O31" s="31">
        <v>6.62</v>
      </c>
      <c r="P31" s="31">
        <v>7.37</v>
      </c>
      <c r="Q31" s="31">
        <v>8.77</v>
      </c>
      <c r="R31" s="31">
        <f>R28/M34</f>
        <v>9.4799010298332487</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102</v>
      </c>
      <c r="B35" s="1"/>
      <c r="C35" s="20">
        <f>(C34-B34)/B34</f>
        <v>0.49633801524440951</v>
      </c>
      <c r="D35" s="20">
        <f t="shared" ref="D35:K35" si="11">(D34-C34)/C34</f>
        <v>-0.33170180145649675</v>
      </c>
      <c r="E35" s="20">
        <f t="shared" si="11"/>
        <v>9.9666446443738895E-3</v>
      </c>
      <c r="F35" s="20">
        <f t="shared" si="11"/>
        <v>0.30813335775783113</v>
      </c>
      <c r="G35" s="20">
        <f t="shared" si="11"/>
        <v>2.5360238618700199E-2</v>
      </c>
      <c r="H35" s="20">
        <f t="shared" si="11"/>
        <v>7.8596596651279674E-2</v>
      </c>
      <c r="I35" s="20">
        <f t="shared" si="11"/>
        <v>2.3639793864036366E-2</v>
      </c>
      <c r="J35" s="20">
        <f t="shared" si="11"/>
        <v>4.3293256147642375E-4</v>
      </c>
      <c r="K35" s="20">
        <f t="shared" si="11"/>
        <v>-1.7482906564126658E-2</v>
      </c>
      <c r="L35" s="20">
        <f t="shared" ref="L35" si="12">(L34-K34)/K34</f>
        <v>0</v>
      </c>
      <c r="M35" s="20">
        <f t="shared" ref="M35" si="13">(M34-L34)/L34</f>
        <v>-4.4076008305543321E-3</v>
      </c>
      <c r="N35" s="20"/>
      <c r="O35" s="20"/>
      <c r="P35" s="20"/>
      <c r="Q35" s="20"/>
      <c r="R35" s="20"/>
      <c r="S35" s="20"/>
      <c r="T35" s="20"/>
      <c r="U35" s="20"/>
      <c r="V35" s="20"/>
      <c r="AH35" s="20"/>
      <c r="AI35" s="20"/>
      <c r="AJ35" s="20"/>
      <c r="AK35" s="20"/>
      <c r="AL35" s="20"/>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91</v>
      </c>
      <c r="C39" s="1" t="s">
        <v>91</v>
      </c>
      <c r="D39" s="1" t="s">
        <v>91</v>
      </c>
      <c r="E39" s="1">
        <v>209426000</v>
      </c>
      <c r="F39" s="1" t="s">
        <v>91</v>
      </c>
      <c r="G39" s="1">
        <v>299910000</v>
      </c>
      <c r="H39" s="1">
        <v>676363000</v>
      </c>
      <c r="I39" s="1">
        <v>1306197000</v>
      </c>
      <c r="J39" s="1">
        <v>1613082000</v>
      </c>
      <c r="K39" s="1">
        <v>1979649000</v>
      </c>
      <c r="L39" s="1">
        <v>2787502000</v>
      </c>
      <c r="M39" s="1">
        <v>2352022000</v>
      </c>
    </row>
    <row r="40" spans="1:38" ht="19" x14ac:dyDescent="0.25">
      <c r="A40" s="5" t="s">
        <v>32</v>
      </c>
      <c r="B40" s="1" t="s">
        <v>91</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91</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91</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91</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91</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91</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91</v>
      </c>
      <c r="C46" s="1" t="s">
        <v>91</v>
      </c>
      <c r="D46" s="1" t="s">
        <v>91</v>
      </c>
      <c r="E46" s="1" t="s">
        <v>91</v>
      </c>
      <c r="F46" s="1" t="s">
        <v>91</v>
      </c>
      <c r="G46" s="1" t="s">
        <v>91</v>
      </c>
      <c r="H46" s="1" t="s">
        <v>91</v>
      </c>
      <c r="I46" s="1">
        <v>53684000</v>
      </c>
      <c r="J46" s="1">
        <v>54855000</v>
      </c>
      <c r="K46" s="1">
        <v>189696000</v>
      </c>
      <c r="L46" s="1">
        <v>188397000</v>
      </c>
      <c r="M46" s="1">
        <v>265924000</v>
      </c>
    </row>
    <row r="47" spans="1:38" ht="19" x14ac:dyDescent="0.25">
      <c r="A47" s="5" t="s">
        <v>39</v>
      </c>
      <c r="B47" s="1" t="s">
        <v>91</v>
      </c>
      <c r="C47" s="1" t="s">
        <v>91</v>
      </c>
      <c r="D47" s="1" t="s">
        <v>91</v>
      </c>
      <c r="E47" s="1" t="s">
        <v>91</v>
      </c>
      <c r="F47" s="1" t="s">
        <v>91</v>
      </c>
      <c r="G47" s="1" t="s">
        <v>91</v>
      </c>
      <c r="H47" s="1" t="s">
        <v>91</v>
      </c>
      <c r="I47" s="1">
        <v>58610000</v>
      </c>
      <c r="J47" s="1">
        <v>45235000</v>
      </c>
      <c r="K47" s="1">
        <v>122790000</v>
      </c>
      <c r="L47" s="1">
        <v>93555000</v>
      </c>
      <c r="M47" s="1">
        <v>122205000</v>
      </c>
    </row>
    <row r="48" spans="1:38" ht="19" x14ac:dyDescent="0.25">
      <c r="A48" s="5" t="s">
        <v>40</v>
      </c>
      <c r="B48" s="1" t="s">
        <v>91</v>
      </c>
      <c r="C48" s="1" t="s">
        <v>91</v>
      </c>
      <c r="D48" s="1" t="s">
        <v>91</v>
      </c>
      <c r="E48" s="1" t="s">
        <v>91</v>
      </c>
      <c r="F48" s="1" t="s">
        <v>91</v>
      </c>
      <c r="G48" s="1" t="s">
        <v>91</v>
      </c>
      <c r="H48" s="1" t="s">
        <v>91</v>
      </c>
      <c r="I48" s="1">
        <v>112294000</v>
      </c>
      <c r="J48" s="1">
        <v>100090000</v>
      </c>
      <c r="K48" s="1">
        <v>312486000</v>
      </c>
      <c r="L48" s="1">
        <v>281952000</v>
      </c>
      <c r="M48" s="1">
        <v>388129000</v>
      </c>
    </row>
    <row r="49" spans="1:13" ht="19" x14ac:dyDescent="0.25">
      <c r="A49" s="5" t="s">
        <v>41</v>
      </c>
      <c r="B49" s="1" t="s">
        <v>91</v>
      </c>
      <c r="C49" s="1" t="s">
        <v>91</v>
      </c>
      <c r="D49" s="1" t="s">
        <v>91</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91</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91</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91</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91</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91</v>
      </c>
      <c r="C56" s="1" t="s">
        <v>91</v>
      </c>
      <c r="D56" s="1">
        <v>98793000</v>
      </c>
      <c r="E56" s="1">
        <v>1087000</v>
      </c>
      <c r="F56" s="1">
        <v>1336000</v>
      </c>
      <c r="G56" s="1" t="s">
        <v>91</v>
      </c>
      <c r="H56" s="1" t="s">
        <v>91</v>
      </c>
      <c r="I56" s="1" t="s">
        <v>91</v>
      </c>
      <c r="J56" s="1" t="s">
        <v>91</v>
      </c>
      <c r="K56" s="1" t="s">
        <v>91</v>
      </c>
      <c r="L56" s="1" t="s">
        <v>91</v>
      </c>
      <c r="M56" s="1">
        <v>0</v>
      </c>
    </row>
    <row r="57" spans="1:13" ht="19" x14ac:dyDescent="0.25">
      <c r="A57" s="5" t="s">
        <v>49</v>
      </c>
      <c r="B57" s="1" t="s">
        <v>91</v>
      </c>
      <c r="C57" s="1" t="s">
        <v>91</v>
      </c>
      <c r="D57" s="1" t="s">
        <v>91</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91</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91</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91</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91</v>
      </c>
      <c r="C61" s="1">
        <v>97673000</v>
      </c>
      <c r="D61" s="1" t="s">
        <v>91</v>
      </c>
      <c r="E61" s="1" t="s">
        <v>91</v>
      </c>
      <c r="F61" s="1" t="s">
        <v>91</v>
      </c>
      <c r="G61" s="1" t="s">
        <v>91</v>
      </c>
      <c r="H61" s="1" t="s">
        <v>91</v>
      </c>
      <c r="I61" s="1" t="s">
        <v>91</v>
      </c>
      <c r="J61" s="1">
        <v>83022000</v>
      </c>
      <c r="K61" s="1">
        <v>72397000</v>
      </c>
      <c r="L61" s="1">
        <v>56527000</v>
      </c>
      <c r="M61" s="1">
        <v>43964000</v>
      </c>
    </row>
    <row r="62" spans="1:13" ht="19" x14ac:dyDescent="0.25">
      <c r="A62" s="5" t="s">
        <v>50</v>
      </c>
      <c r="B62" s="1" t="s">
        <v>91</v>
      </c>
      <c r="C62" s="1" t="s">
        <v>91</v>
      </c>
      <c r="D62" s="1" t="s">
        <v>91</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91</v>
      </c>
      <c r="C63" s="1" t="s">
        <v>91</v>
      </c>
      <c r="D63" s="1" t="s">
        <v>91</v>
      </c>
      <c r="E63" s="1" t="s">
        <v>91</v>
      </c>
      <c r="F63" s="1" t="s">
        <v>91</v>
      </c>
      <c r="G63" s="1" t="s">
        <v>91</v>
      </c>
      <c r="H63" s="1" t="s">
        <v>91</v>
      </c>
      <c r="I63" s="1" t="s">
        <v>91</v>
      </c>
      <c r="J63" s="1">
        <v>254710000</v>
      </c>
      <c r="K63" s="1">
        <v>227936000</v>
      </c>
      <c r="L63" s="1">
        <v>129074000</v>
      </c>
      <c r="M63" s="1">
        <v>42000</v>
      </c>
    </row>
    <row r="64" spans="1:13" ht="19" x14ac:dyDescent="0.25">
      <c r="A64" s="5" t="s">
        <v>55</v>
      </c>
      <c r="B64" s="1" t="s">
        <v>91</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91</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91</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91</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91</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91</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91</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91</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103</v>
      </c>
      <c r="B80" s="15">
        <f t="shared" ref="B80:M80" si="14">B79/B3</f>
        <v>1.4115325210228248E-2</v>
      </c>
      <c r="C80" s="15">
        <f t="shared" si="14"/>
        <v>2.4316470880211782E-2</v>
      </c>
      <c r="D80" s="15">
        <f t="shared" si="14"/>
        <v>2.8123823444732354E-2</v>
      </c>
      <c r="E80" s="15">
        <f t="shared" si="14"/>
        <v>4.7284225808329312E-2</v>
      </c>
      <c r="F80" s="15">
        <f t="shared" si="14"/>
        <v>5.408725738457075E-2</v>
      </c>
      <c r="G80" s="15">
        <f t="shared" si="14"/>
        <v>5.2279246559632009E-2</v>
      </c>
      <c r="H80" s="15">
        <f t="shared" si="14"/>
        <v>4.581924521287388E-2</v>
      </c>
      <c r="I80" s="15">
        <f t="shared" si="14"/>
        <v>4.239254167927492E-2</v>
      </c>
      <c r="J80" s="15">
        <f t="shared" si="14"/>
        <v>4.201258884326832E-2</v>
      </c>
      <c r="K80" s="15">
        <f t="shared" si="14"/>
        <v>5.9133242891514691E-2</v>
      </c>
      <c r="L80" s="15">
        <f t="shared" si="14"/>
        <v>6.338963859680187E-2</v>
      </c>
      <c r="M80" s="15">
        <f t="shared" si="14"/>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19"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row>
    <row r="84" spans="1:46" ht="19" customHeight="1"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N84" s="42"/>
      <c r="O84" s="42"/>
      <c r="P84" s="42"/>
      <c r="Q84" s="42"/>
      <c r="R84" s="42"/>
      <c r="S84" s="42"/>
      <c r="T84" s="77" t="s">
        <v>124</v>
      </c>
      <c r="U84" s="78"/>
    </row>
    <row r="85" spans="1:46" ht="21" customHeight="1"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91</v>
      </c>
      <c r="N85" s="42"/>
      <c r="O85" s="42"/>
      <c r="P85" s="42"/>
      <c r="Q85" s="42"/>
      <c r="R85" s="42"/>
      <c r="S85" s="42"/>
      <c r="T85" s="81" t="s">
        <v>125</v>
      </c>
      <c r="U85" s="81"/>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91</v>
      </c>
      <c r="N86" s="42"/>
      <c r="O86" s="42"/>
      <c r="P86" s="42"/>
      <c r="Q86" s="42"/>
      <c r="R86" s="42"/>
      <c r="S86" s="42"/>
      <c r="T86" s="32" t="s">
        <v>126</v>
      </c>
      <c r="U86" s="43">
        <f>M17</f>
        <v>7215000</v>
      </c>
    </row>
    <row r="87" spans="1:46" ht="19" customHeight="1"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N87" s="42"/>
      <c r="O87" s="42"/>
      <c r="P87" s="42"/>
      <c r="Q87" s="42"/>
      <c r="R87" s="42"/>
      <c r="S87" s="42"/>
      <c r="T87" s="32" t="s">
        <v>127</v>
      </c>
      <c r="U87" s="43">
        <f>M56</f>
        <v>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N88" s="42"/>
      <c r="O88" s="42"/>
      <c r="P88" s="42"/>
      <c r="Q88" s="42"/>
      <c r="R88" s="42"/>
      <c r="S88" s="42"/>
      <c r="T88" s="32" t="s">
        <v>128</v>
      </c>
      <c r="U88" s="43">
        <f>M61</f>
        <v>43964000</v>
      </c>
    </row>
    <row r="89" spans="1:46" ht="20" customHeight="1" x14ac:dyDescent="0.25">
      <c r="A89" s="14" t="s">
        <v>104</v>
      </c>
      <c r="B89" s="15">
        <f t="shared" ref="B89:M89" si="15">(-1*B88)/B3</f>
        <v>1.9807219266632342E-2</v>
      </c>
      <c r="C89" s="15">
        <f t="shared" si="15"/>
        <v>1.7124420913302449E-2</v>
      </c>
      <c r="D89" s="15">
        <f t="shared" si="15"/>
        <v>5.6242110158793435E-2</v>
      </c>
      <c r="E89" s="15">
        <f t="shared" si="15"/>
        <v>2.2485644728867705E-2</v>
      </c>
      <c r="F89" s="15">
        <f t="shared" si="15"/>
        <v>2.3864869608197795E-2</v>
      </c>
      <c r="G89" s="15">
        <f t="shared" si="15"/>
        <v>1.8968850488900225E-2</v>
      </c>
      <c r="H89" s="15">
        <f t="shared" si="15"/>
        <v>9.2814542220623908E-3</v>
      </c>
      <c r="I89" s="15">
        <f t="shared" si="15"/>
        <v>1.1076667926329701E-2</v>
      </c>
      <c r="J89" s="15">
        <f t="shared" si="15"/>
        <v>6.5337706049597086E-3</v>
      </c>
      <c r="K89" s="15">
        <f t="shared" si="15"/>
        <v>6.6381533299503951E-3</v>
      </c>
      <c r="L89" s="15">
        <f t="shared" si="15"/>
        <v>2.1959018831853194E-2</v>
      </c>
      <c r="M89" s="15">
        <f t="shared" si="15"/>
        <v>1.0189646475597482E-2</v>
      </c>
      <c r="N89" s="42"/>
      <c r="O89" s="42"/>
      <c r="P89" s="42"/>
      <c r="Q89" s="42"/>
      <c r="R89" s="42"/>
      <c r="S89" s="42"/>
      <c r="T89" s="33" t="s">
        <v>129</v>
      </c>
      <c r="U89" s="44">
        <f>U86/(U87+U88)</f>
        <v>0.16411154581020834</v>
      </c>
      <c r="V89" s="15"/>
      <c r="AH89" s="15"/>
      <c r="AI89" s="15"/>
      <c r="AJ89" s="15"/>
      <c r="AK89" s="15"/>
      <c r="AL89" s="15"/>
      <c r="AS89" s="21" t="s">
        <v>105</v>
      </c>
      <c r="AT89" s="22">
        <f>AL27</f>
        <v>0</v>
      </c>
    </row>
    <row r="90" spans="1:46" ht="20" x14ac:dyDescent="0.25">
      <c r="A90" s="5" t="s">
        <v>75</v>
      </c>
      <c r="B90" s="1" t="s">
        <v>91</v>
      </c>
      <c r="C90" s="1" t="s">
        <v>91</v>
      </c>
      <c r="D90" s="1" t="s">
        <v>91</v>
      </c>
      <c r="E90" s="1" t="s">
        <v>91</v>
      </c>
      <c r="F90" s="1" t="s">
        <v>91</v>
      </c>
      <c r="G90" s="1" t="s">
        <v>91</v>
      </c>
      <c r="H90" s="1" t="s">
        <v>91</v>
      </c>
      <c r="I90" s="1">
        <v>-96821000</v>
      </c>
      <c r="J90" s="1">
        <v>26855000</v>
      </c>
      <c r="K90" s="1">
        <v>-224021000</v>
      </c>
      <c r="L90" s="1">
        <v>-18634000</v>
      </c>
      <c r="M90" s="1">
        <v>-145087000</v>
      </c>
      <c r="N90" s="42"/>
      <c r="O90" s="42"/>
      <c r="P90" s="42"/>
      <c r="Q90" s="42"/>
      <c r="R90" s="42"/>
      <c r="S90" s="42"/>
      <c r="T90" s="32" t="s">
        <v>105</v>
      </c>
      <c r="U90" s="43">
        <f>M27</f>
        <v>229350000</v>
      </c>
    </row>
    <row r="91" spans="1:46" ht="20" x14ac:dyDescent="0.25">
      <c r="A91" s="5" t="s">
        <v>76</v>
      </c>
      <c r="B91" s="1" t="s">
        <v>91</v>
      </c>
      <c r="C91" s="1" t="s">
        <v>91</v>
      </c>
      <c r="D91" s="1" t="s">
        <v>91</v>
      </c>
      <c r="E91" s="1">
        <v>-210019000</v>
      </c>
      <c r="F91" s="1" t="s">
        <v>91</v>
      </c>
      <c r="G91" s="1">
        <v>-439711000</v>
      </c>
      <c r="H91" s="1">
        <v>-585373000</v>
      </c>
      <c r="I91" s="1">
        <v>-1182259000</v>
      </c>
      <c r="J91" s="1">
        <v>-1503893000</v>
      </c>
      <c r="K91" s="1">
        <v>-2688064000</v>
      </c>
      <c r="L91" s="1">
        <v>-2317264000</v>
      </c>
      <c r="M91" s="1">
        <v>-1418857000</v>
      </c>
      <c r="N91" s="42"/>
      <c r="O91" s="42"/>
      <c r="P91" s="42"/>
      <c r="Q91" s="42"/>
      <c r="R91" s="42"/>
      <c r="S91" s="42"/>
      <c r="T91" s="32" t="s">
        <v>19</v>
      </c>
      <c r="U91" s="43">
        <f>M25</f>
        <v>1581796000</v>
      </c>
    </row>
    <row r="92" spans="1:46" ht="20" x14ac:dyDescent="0.25">
      <c r="A92" s="5" t="s">
        <v>77</v>
      </c>
      <c r="B92" s="1" t="s">
        <v>91</v>
      </c>
      <c r="C92" s="1" t="s">
        <v>91</v>
      </c>
      <c r="D92" s="1" t="s">
        <v>91</v>
      </c>
      <c r="E92" s="1" t="s">
        <v>91</v>
      </c>
      <c r="F92" s="1">
        <v>208200000</v>
      </c>
      <c r="G92" s="1">
        <v>137855000</v>
      </c>
      <c r="H92" s="1">
        <v>206332000</v>
      </c>
      <c r="I92" s="1">
        <v>547797000</v>
      </c>
      <c r="J92" s="1">
        <v>1208717000</v>
      </c>
      <c r="K92" s="1">
        <v>2318667000</v>
      </c>
      <c r="L92" s="1">
        <v>1475072000</v>
      </c>
      <c r="M92" s="1">
        <v>1837606000</v>
      </c>
      <c r="N92" s="42"/>
      <c r="O92" s="42"/>
      <c r="P92" s="42"/>
      <c r="Q92" s="42"/>
      <c r="R92" s="42"/>
      <c r="S92" s="42"/>
      <c r="T92" s="33" t="s">
        <v>130</v>
      </c>
      <c r="U92" s="44">
        <f>U90/U91</f>
        <v>0.14499341255130244</v>
      </c>
    </row>
    <row r="93" spans="1:46" ht="19" customHeight="1" x14ac:dyDescent="0.25">
      <c r="A93" s="5" t="s">
        <v>78</v>
      </c>
      <c r="B93" s="1" t="s">
        <v>91</v>
      </c>
      <c r="C93" s="1">
        <v>-9040000</v>
      </c>
      <c r="D93" s="1">
        <v>825000</v>
      </c>
      <c r="E93" s="1">
        <v>-26209000</v>
      </c>
      <c r="F93" s="1">
        <v>-4041000</v>
      </c>
      <c r="G93" s="1">
        <v>-2704000</v>
      </c>
      <c r="H93" s="1">
        <v>1740000</v>
      </c>
      <c r="I93" s="1" t="s">
        <v>91</v>
      </c>
      <c r="J93" s="1" t="s">
        <v>91</v>
      </c>
      <c r="K93" s="1" t="s">
        <v>91</v>
      </c>
      <c r="L93" s="1" t="s">
        <v>91</v>
      </c>
      <c r="M93" s="1">
        <v>-12691000</v>
      </c>
      <c r="N93" s="42"/>
      <c r="O93" s="42"/>
      <c r="P93" s="42"/>
      <c r="Q93" s="42"/>
      <c r="R93" s="42"/>
      <c r="S93" s="42"/>
      <c r="T93" s="33" t="s">
        <v>131</v>
      </c>
      <c r="U93" s="44">
        <f>U89*(1-U92)</f>
        <v>0.14031645274411683</v>
      </c>
    </row>
    <row r="94" spans="1:46" ht="19" customHeight="1"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N94" s="42"/>
      <c r="O94" s="42"/>
      <c r="P94" s="42"/>
      <c r="Q94" s="42"/>
      <c r="R94" s="42"/>
      <c r="S94" s="42"/>
      <c r="T94" s="81" t="s">
        <v>132</v>
      </c>
      <c r="U94" s="81"/>
    </row>
    <row r="95" spans="1:46" ht="20" x14ac:dyDescent="0.25">
      <c r="A95" s="5" t="s">
        <v>80</v>
      </c>
      <c r="B95" s="1">
        <v>-55555000</v>
      </c>
      <c r="C95" s="1" t="s">
        <v>91</v>
      </c>
      <c r="D95" s="1" t="s">
        <v>91</v>
      </c>
      <c r="E95" s="1">
        <v>-20793000</v>
      </c>
      <c r="F95" s="1">
        <v>-1086000</v>
      </c>
      <c r="G95" s="1">
        <v>-1336000</v>
      </c>
      <c r="H95" s="1">
        <v>-1617000</v>
      </c>
      <c r="I95" s="1">
        <v>-1929000</v>
      </c>
      <c r="J95" s="1" t="s">
        <v>91</v>
      </c>
      <c r="K95" s="1" t="s">
        <v>91</v>
      </c>
      <c r="L95" s="1" t="s">
        <v>91</v>
      </c>
      <c r="M95" s="1" t="s">
        <v>91</v>
      </c>
      <c r="N95" s="42"/>
      <c r="O95" s="42"/>
      <c r="P95" s="42"/>
      <c r="Q95" s="42"/>
      <c r="R95" s="42"/>
      <c r="S95" s="42"/>
      <c r="T95" s="32" t="s">
        <v>133</v>
      </c>
      <c r="U95" s="76">
        <f>'[1]US Treasury Bonds'!$C$8</f>
        <v>4.9020000000000001E-2</v>
      </c>
    </row>
    <row r="96" spans="1:46" ht="20" x14ac:dyDescent="0.25">
      <c r="A96" s="5" t="s">
        <v>81</v>
      </c>
      <c r="B96" s="1">
        <v>4203000</v>
      </c>
      <c r="C96" s="1" t="s">
        <v>91</v>
      </c>
      <c r="D96" s="1" t="s">
        <v>91</v>
      </c>
      <c r="E96" s="1">
        <v>239315000</v>
      </c>
      <c r="F96" s="1" t="s">
        <v>91</v>
      </c>
      <c r="G96" s="1" t="s">
        <v>91</v>
      </c>
      <c r="H96" s="1" t="s">
        <v>91</v>
      </c>
      <c r="I96" s="1" t="s">
        <v>91</v>
      </c>
      <c r="J96" s="1" t="s">
        <v>91</v>
      </c>
      <c r="K96" s="1" t="s">
        <v>91</v>
      </c>
      <c r="L96" s="1">
        <v>67245000</v>
      </c>
      <c r="M96" s="1">
        <v>48411000</v>
      </c>
      <c r="N96" s="42"/>
      <c r="O96" s="42"/>
      <c r="P96" s="42"/>
      <c r="Q96" s="42"/>
      <c r="R96" s="42"/>
      <c r="S96" s="42"/>
      <c r="T96" s="32" t="s">
        <v>134</v>
      </c>
      <c r="U96" s="46" cm="1">
        <f t="array" ref="U96">_FV(A1,"Beta")</f>
        <v>1.1405000000000001</v>
      </c>
    </row>
    <row r="97" spans="1:46" ht="20" x14ac:dyDescent="0.25">
      <c r="A97" s="5" t="s">
        <v>82</v>
      </c>
      <c r="B97" s="1" t="s">
        <v>91</v>
      </c>
      <c r="C97" s="1" t="s">
        <v>91</v>
      </c>
      <c r="D97" s="1" t="s">
        <v>91</v>
      </c>
      <c r="E97" s="1" t="s">
        <v>91</v>
      </c>
      <c r="F97" s="1">
        <v>-261000</v>
      </c>
      <c r="G97" s="1" t="s">
        <v>91</v>
      </c>
      <c r="H97" s="1" t="s">
        <v>91</v>
      </c>
      <c r="I97" s="1" t="s">
        <v>91</v>
      </c>
      <c r="J97" s="1">
        <v>-266142000</v>
      </c>
      <c r="K97" s="1">
        <v>-395173000</v>
      </c>
      <c r="L97" s="1">
        <v>-411645000</v>
      </c>
      <c r="M97" s="1">
        <v>-670287000</v>
      </c>
      <c r="N97" s="42"/>
      <c r="O97" s="42"/>
      <c r="P97" s="42"/>
      <c r="Q97" s="42"/>
      <c r="R97" s="42"/>
      <c r="S97" s="42"/>
      <c r="T97" s="32" t="s">
        <v>135</v>
      </c>
      <c r="U97" s="45">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0</v>
      </c>
      <c r="N98" s="42"/>
      <c r="O98" s="42"/>
      <c r="P98" s="42"/>
      <c r="Q98" s="42"/>
      <c r="R98" s="42"/>
      <c r="S98" s="42"/>
      <c r="T98" s="33" t="s">
        <v>136</v>
      </c>
      <c r="U98" s="44">
        <f>(U95)+((U96)*(U97-U95))</f>
        <v>8.8914690000000018E-2</v>
      </c>
    </row>
    <row r="99" spans="1:46" ht="20" customHeight="1"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N99" s="42"/>
      <c r="O99" s="42"/>
      <c r="P99" s="42"/>
      <c r="Q99" s="42"/>
      <c r="R99" s="42"/>
      <c r="S99" s="42"/>
      <c r="T99" s="81" t="s">
        <v>137</v>
      </c>
      <c r="U99" s="81"/>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N100" s="42"/>
      <c r="O100" s="42"/>
      <c r="P100" s="42"/>
      <c r="Q100" s="42"/>
      <c r="R100" s="42"/>
      <c r="S100" s="42"/>
      <c r="T100" s="32" t="s">
        <v>138</v>
      </c>
      <c r="U100" s="43">
        <f>U87+U88</f>
        <v>43964000</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N101" s="42"/>
      <c r="O101" s="42"/>
      <c r="P101" s="42"/>
      <c r="Q101" s="42"/>
      <c r="R101" s="42"/>
      <c r="S101" s="42"/>
      <c r="T101" s="33" t="s">
        <v>139</v>
      </c>
      <c r="U101" s="44">
        <f>U100/U104</f>
        <v>7.4110213922128315E-4</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N102" s="42"/>
      <c r="O102" s="42"/>
      <c r="P102" s="42"/>
      <c r="Q102" s="42"/>
      <c r="R102" s="42"/>
      <c r="S102" s="42"/>
      <c r="T102" s="32" t="s">
        <v>140</v>
      </c>
      <c r="U102" s="47" cm="1">
        <f t="array" ref="U102">_FV(A1,"Market cap",TRUE)</f>
        <v>59278493288</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N103" s="42"/>
      <c r="O103" s="42"/>
      <c r="P103" s="42"/>
      <c r="Q103" s="42"/>
      <c r="R103" s="42"/>
      <c r="S103" s="42"/>
      <c r="T103" s="33" t="s">
        <v>141</v>
      </c>
      <c r="U103" s="44">
        <f>U102/U104</f>
        <v>0.99925889786077871</v>
      </c>
    </row>
    <row r="104" spans="1:46" ht="20" customHeight="1"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N104" s="79" t="s">
        <v>163</v>
      </c>
      <c r="O104" s="79"/>
      <c r="P104" s="79"/>
      <c r="Q104" s="79"/>
      <c r="R104" s="79"/>
      <c r="S104" s="42"/>
      <c r="T104" s="33" t="s">
        <v>142</v>
      </c>
      <c r="U104" s="48">
        <f>U100+U102</f>
        <v>59322457288</v>
      </c>
    </row>
    <row r="105" spans="1:46" ht="21" thickTop="1" x14ac:dyDescent="0.25">
      <c r="A105" s="14" t="s">
        <v>161</v>
      </c>
      <c r="B105" s="1">
        <f t="shared" ref="B105:M105" si="16">(B22*(1-$U$92))+B77+B88+B81</f>
        <v>13841292.482722171</v>
      </c>
      <c r="C105" s="1">
        <f t="shared" si="16"/>
        <v>33505197.819440685</v>
      </c>
      <c r="D105" s="1">
        <f t="shared" si="16"/>
        <v>26673975.746556453</v>
      </c>
      <c r="E105" s="1">
        <f t="shared" si="16"/>
        <v>120022441.81044838</v>
      </c>
      <c r="F105" s="1">
        <f t="shared" si="16"/>
        <v>201987323.55879015</v>
      </c>
      <c r="G105" s="1">
        <f t="shared" si="16"/>
        <v>137998298.44430003</v>
      </c>
      <c r="H105" s="1">
        <f t="shared" si="16"/>
        <v>509927657.89267391</v>
      </c>
      <c r="I105" s="1">
        <f t="shared" si="16"/>
        <v>341141485.65933919</v>
      </c>
      <c r="J105" s="1">
        <f t="shared" si="16"/>
        <v>746838077.99488688</v>
      </c>
      <c r="K105" s="1">
        <f t="shared" si="16"/>
        <v>541754429.13245451</v>
      </c>
      <c r="L105" s="1">
        <f t="shared" si="16"/>
        <v>769379936.67072117</v>
      </c>
      <c r="M105" s="1">
        <f t="shared" si="16"/>
        <v>414856689.73243093</v>
      </c>
      <c r="N105" s="49">
        <f>M105*(1+$U$107)</f>
        <v>466802178.60997313</v>
      </c>
      <c r="O105" s="49">
        <f>N105*(1+$U$107)</f>
        <v>525251922.7677356</v>
      </c>
      <c r="P105" s="49">
        <f>O105*(1+$U$107)</f>
        <v>591020340.12081397</v>
      </c>
      <c r="Q105" s="49">
        <f>P105*(1+$U$107)</f>
        <v>665023824.36967111</v>
      </c>
      <c r="R105" s="49">
        <f>Q105*(1+$U$107)</f>
        <v>748293513.70353651</v>
      </c>
      <c r="S105" s="41" t="s">
        <v>165</v>
      </c>
      <c r="T105" s="81" t="s">
        <v>143</v>
      </c>
      <c r="U105" s="81"/>
      <c r="V105" s="15"/>
      <c r="AH105" s="15"/>
      <c r="AI105" s="15"/>
      <c r="AJ105" s="15"/>
      <c r="AK105" s="15"/>
      <c r="AL105" s="15"/>
      <c r="AM105" s="15"/>
      <c r="AN105" s="15"/>
      <c r="AO105" s="15"/>
      <c r="AP105" s="15"/>
      <c r="AQ105" s="15"/>
      <c r="AR105" s="15"/>
      <c r="AS105" s="23" t="s">
        <v>107</v>
      </c>
      <c r="AT105" s="24">
        <f>(AT100*AT92)+(AT102*AT97)</f>
        <v>0</v>
      </c>
    </row>
    <row r="106" spans="1:46" ht="20" x14ac:dyDescent="0.25">
      <c r="A106" s="14" t="s">
        <v>106</v>
      </c>
      <c r="B106" s="1"/>
      <c r="C106" s="15">
        <f t="shared" ref="C106:M106" si="17">(C107/B107)-1</f>
        <v>1.3803312629399587</v>
      </c>
      <c r="D106" s="15">
        <f t="shared" si="17"/>
        <v>-0.37670696703487871</v>
      </c>
      <c r="E106" s="15">
        <f t="shared" si="17"/>
        <v>6.0738208205414459</v>
      </c>
      <c r="F106" s="15">
        <f t="shared" si="17"/>
        <v>0.78082894399400282</v>
      </c>
      <c r="G106" s="15">
        <f t="shared" si="17"/>
        <v>-0.39061392236795467</v>
      </c>
      <c r="H106" s="15">
        <f t="shared" si="17"/>
        <v>4.6020941456631004</v>
      </c>
      <c r="I106" s="15">
        <f t="shared" si="17"/>
        <v>-0.22237275045915617</v>
      </c>
      <c r="J106" s="15">
        <f t="shared" si="17"/>
        <v>0.97643384262939481</v>
      </c>
      <c r="K106" s="15">
        <f t="shared" si="17"/>
        <v>-0.24021649285377233</v>
      </c>
      <c r="L106" s="15">
        <f t="shared" si="17"/>
        <v>0.32149556083531317</v>
      </c>
      <c r="M106" s="15">
        <f t="shared" si="17"/>
        <v>-0.52879867945159398</v>
      </c>
      <c r="N106" s="39">
        <f>(N107/M107)-1</f>
        <v>3.00295424270755</v>
      </c>
      <c r="O106" s="39">
        <f>(O107/N107)-1</f>
        <v>0.19230769230769229</v>
      </c>
      <c r="P106" s="39">
        <f t="shared" ref="P106:R106" si="18">(P107/O107)-1</f>
        <v>7.9476390836839661E-2</v>
      </c>
      <c r="Q106" s="39">
        <f t="shared" si="18"/>
        <v>0.20918146383715897</v>
      </c>
      <c r="R106" s="39">
        <f t="shared" si="18"/>
        <v>2.9727793696274984E-2</v>
      </c>
      <c r="S106" s="40">
        <f>SUM(N106:R106)/5</f>
        <v>0.70272951667710326</v>
      </c>
      <c r="T106" s="34" t="s">
        <v>107</v>
      </c>
      <c r="U106" s="50">
        <f>(U101*U93)+(U103*U98)</f>
        <v>8.8952783956329426E-2</v>
      </c>
    </row>
    <row r="107" spans="1:46" ht="19" x14ac:dyDescent="0.25">
      <c r="A107" s="37" t="s">
        <v>162</v>
      </c>
      <c r="B107" s="1">
        <v>9660000</v>
      </c>
      <c r="C107" s="1">
        <v>22994000</v>
      </c>
      <c r="D107" s="1">
        <v>14332000</v>
      </c>
      <c r="E107" s="1">
        <v>101382000</v>
      </c>
      <c r="F107" s="1">
        <v>180544000</v>
      </c>
      <c r="G107" s="1">
        <v>110021000</v>
      </c>
      <c r="H107" s="1">
        <v>616348000</v>
      </c>
      <c r="I107" s="1">
        <v>479289000</v>
      </c>
      <c r="J107" s="1">
        <v>947283000</v>
      </c>
      <c r="K107" s="1">
        <v>719730000</v>
      </c>
      <c r="L107" s="1">
        <v>951120000</v>
      </c>
      <c r="M107" s="1">
        <v>448169000</v>
      </c>
      <c r="N107" s="51">
        <v>1794000000</v>
      </c>
      <c r="O107" s="51">
        <v>2139000000</v>
      </c>
      <c r="P107" s="51">
        <v>2309000000</v>
      </c>
      <c r="Q107" s="51">
        <v>2792000000</v>
      </c>
      <c r="R107" s="51">
        <v>2875000000</v>
      </c>
      <c r="S107" s="41" t="s">
        <v>164</v>
      </c>
      <c r="T107" s="52" t="s">
        <v>144</v>
      </c>
      <c r="U107" s="35">
        <f>(SUM(N4:R4)/5)</f>
        <v>0.12521309204642547</v>
      </c>
    </row>
    <row r="108" spans="1:46" ht="19" x14ac:dyDescent="0.2">
      <c r="N108" s="41"/>
      <c r="O108" s="41"/>
      <c r="P108" s="41"/>
      <c r="Q108" s="41"/>
      <c r="R108" s="53">
        <f>R107*(1+U108)/(U109-U108)</f>
        <v>46078916627.183777</v>
      </c>
      <c r="S108" s="54" t="s">
        <v>145</v>
      </c>
      <c r="T108" s="55" t="s">
        <v>146</v>
      </c>
      <c r="U108" s="36">
        <v>2.5000000000000001E-2</v>
      </c>
    </row>
    <row r="109" spans="1:46" ht="19" x14ac:dyDescent="0.2">
      <c r="N109" s="53">
        <f>N108+N107</f>
        <v>1794000000</v>
      </c>
      <c r="O109" s="53">
        <f>O108+O107</f>
        <v>2139000000</v>
      </c>
      <c r="P109" s="53">
        <f>P108+P107</f>
        <v>2309000000</v>
      </c>
      <c r="Q109" s="53">
        <f>Q108+Q107</f>
        <v>2792000000</v>
      </c>
      <c r="R109" s="53">
        <f>R108+R107</f>
        <v>48953916627.183777</v>
      </c>
      <c r="S109" s="54" t="s">
        <v>142</v>
      </c>
      <c r="T109" s="56" t="s">
        <v>147</v>
      </c>
      <c r="U109" s="35">
        <f>U106</f>
        <v>8.8952783956329426E-2</v>
      </c>
    </row>
    <row r="110" spans="1:46" ht="19" x14ac:dyDescent="0.2">
      <c r="N110" s="80" t="s">
        <v>148</v>
      </c>
      <c r="O110" s="80"/>
      <c r="P110" s="42"/>
      <c r="Q110" s="42"/>
      <c r="R110" s="42"/>
      <c r="S110" s="42"/>
      <c r="T110" s="42"/>
      <c r="U110" s="42"/>
    </row>
    <row r="111" spans="1:46" ht="20" x14ac:dyDescent="0.2">
      <c r="N111" s="57" t="s">
        <v>149</v>
      </c>
      <c r="O111" s="47">
        <f>NPV(U109,N109,O109,P109,Q109,R109)</f>
        <v>39194902964.368576</v>
      </c>
      <c r="P111" s="42"/>
      <c r="Q111" s="42"/>
      <c r="R111" s="42"/>
      <c r="S111" s="42"/>
      <c r="T111" s="42"/>
      <c r="U111" s="42"/>
    </row>
    <row r="112" spans="1:46" ht="20" x14ac:dyDescent="0.2">
      <c r="N112" s="57" t="s">
        <v>150</v>
      </c>
      <c r="O112" s="47">
        <f>M40</f>
        <v>3023729000</v>
      </c>
      <c r="P112" s="42"/>
      <c r="Q112" s="42"/>
      <c r="R112" s="42"/>
      <c r="S112" s="42"/>
      <c r="T112" s="42"/>
      <c r="U112" s="42"/>
    </row>
    <row r="113" spans="14:21" ht="20" x14ac:dyDescent="0.2">
      <c r="N113" s="57" t="s">
        <v>138</v>
      </c>
      <c r="O113" s="47">
        <f>U100</f>
        <v>43964000</v>
      </c>
      <c r="P113" s="42"/>
      <c r="Q113" s="42"/>
      <c r="R113" s="42"/>
      <c r="S113" s="42"/>
      <c r="T113" s="42"/>
      <c r="U113" s="42"/>
    </row>
    <row r="114" spans="14:21" ht="20" x14ac:dyDescent="0.2">
      <c r="N114" s="57" t="s">
        <v>151</v>
      </c>
      <c r="O114" s="47">
        <f>O111+O112-O113</f>
        <v>42174667964.368576</v>
      </c>
      <c r="P114" s="42"/>
      <c r="Q114" s="42"/>
      <c r="R114" s="42"/>
      <c r="S114" s="42"/>
      <c r="T114" s="42"/>
      <c r="U114" s="42"/>
    </row>
    <row r="115" spans="14:21" ht="20" x14ac:dyDescent="0.2">
      <c r="N115" s="57" t="s">
        <v>156</v>
      </c>
      <c r="O115" s="57">
        <f>M34*(1+(S16*4))</f>
        <v>317011466.28182238</v>
      </c>
      <c r="P115" s="42"/>
      <c r="Q115" s="42"/>
      <c r="R115" s="42"/>
      <c r="S115" s="42"/>
      <c r="T115" s="42"/>
      <c r="U115" s="42"/>
    </row>
    <row r="116" spans="14:21" ht="20" x14ac:dyDescent="0.2">
      <c r="N116" s="58" t="s">
        <v>152</v>
      </c>
      <c r="O116" s="59">
        <f>O114/O115</f>
        <v>133.03830444692937</v>
      </c>
      <c r="P116" s="42"/>
      <c r="Q116" s="42"/>
      <c r="R116" s="42"/>
      <c r="S116" s="42"/>
      <c r="T116" s="42"/>
      <c r="U116" s="42"/>
    </row>
    <row r="117" spans="14:21" ht="20" x14ac:dyDescent="0.2">
      <c r="N117" s="57" t="s">
        <v>153</v>
      </c>
      <c r="O117" s="60" cm="1">
        <f t="array" ref="O117">_FV(A1,"Price")</f>
        <v>191.48</v>
      </c>
      <c r="P117" s="42"/>
      <c r="Q117" s="42"/>
      <c r="R117" s="42"/>
      <c r="S117" s="42"/>
      <c r="T117" s="42"/>
      <c r="U117" s="42"/>
    </row>
    <row r="118" spans="14:21" ht="20" x14ac:dyDescent="0.2">
      <c r="N118" s="58" t="s">
        <v>154</v>
      </c>
      <c r="O118" s="61">
        <f>O116/O117-1</f>
        <v>-0.30521044262100805</v>
      </c>
      <c r="P118" s="42"/>
      <c r="Q118" s="42"/>
      <c r="R118" s="42"/>
      <c r="S118" s="42"/>
      <c r="T118" s="42"/>
      <c r="U118" s="42"/>
    </row>
    <row r="119" spans="14:21" ht="20" x14ac:dyDescent="0.2">
      <c r="N119" s="58" t="s">
        <v>155</v>
      </c>
      <c r="O119" s="62" t="str">
        <f>IF(O116&gt;O117,"BUY","SELL")</f>
        <v>SELL</v>
      </c>
      <c r="P119" s="42"/>
      <c r="Q119" s="42"/>
      <c r="R119" s="42"/>
      <c r="S119" s="42"/>
      <c r="T119" s="42"/>
      <c r="U119" s="42"/>
    </row>
  </sheetData>
  <mergeCells count="7">
    <mergeCell ref="T84:U84"/>
    <mergeCell ref="N104:R104"/>
    <mergeCell ref="N110:O110"/>
    <mergeCell ref="T99:U99"/>
    <mergeCell ref="T94:U94"/>
    <mergeCell ref="T85:U85"/>
    <mergeCell ref="T105:U105"/>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 ref="S107" r:id="rId26" xr:uid="{EC4E03D2-F757-CF4E-93AF-531565B67EE2}"/>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2023-03-13T22:03:17Z</dcterms:created>
  <dcterms:modified xsi:type="dcterms:W3CDTF">2023-10-20T04:33:50Z</dcterms:modified>
</cp:coreProperties>
</file>