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65FA6DD-6D22-3B46-A07C-0F27AB10308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06" i="1" l="1"/>
  <c r="AQ106" i="1"/>
  <c r="AR106" i="1"/>
  <c r="AO106" i="1"/>
  <c r="AN106" i="1"/>
  <c r="AN109" i="1"/>
  <c r="AO109" i="1"/>
  <c r="AP109" i="1"/>
  <c r="AQ109" i="1"/>
  <c r="AN34" i="1" l="1" a="1"/>
  <c r="AN34" i="1" s="1"/>
  <c r="AN35" i="1" s="1"/>
  <c r="AN33" i="1" a="1"/>
  <c r="AN33" i="1" s="1"/>
  <c r="AR30" i="1"/>
  <c r="AQ30" i="1"/>
  <c r="AP30" i="1"/>
  <c r="AO30" i="1"/>
  <c r="AN30" i="1"/>
  <c r="AR29" i="1"/>
  <c r="AQ29" i="1"/>
  <c r="AP29" i="1"/>
  <c r="AO29" i="1"/>
  <c r="AN29" i="1"/>
  <c r="AR21" i="1"/>
  <c r="AQ21" i="1"/>
  <c r="AP21" i="1"/>
  <c r="AO21" i="1"/>
  <c r="AN21" i="1"/>
  <c r="AR20" i="1"/>
  <c r="AQ20" i="1"/>
  <c r="AP20" i="1"/>
  <c r="AO20" i="1"/>
  <c r="AN20" i="1"/>
  <c r="AT22" i="1" l="1"/>
  <c r="AO117" i="1" a="1"/>
  <c r="AO117" i="1" s="1"/>
  <c r="AO112" i="1"/>
  <c r="AU102" i="1" a="1"/>
  <c r="AU102" i="1" s="1"/>
  <c r="AU96" i="1" a="1"/>
  <c r="AU96" i="1" s="1"/>
  <c r="AU91" i="1"/>
  <c r="AU90" i="1"/>
  <c r="AU88" i="1"/>
  <c r="AU100" i="1" s="1"/>
  <c r="AU87" i="1"/>
  <c r="AU86" i="1"/>
  <c r="AS19" i="1"/>
  <c r="AV13" i="1"/>
  <c r="AU13" i="1"/>
  <c r="AT13" i="1"/>
  <c r="AS13" i="1"/>
  <c r="AV7" i="1"/>
  <c r="AU7" i="1"/>
  <c r="AT7" i="1"/>
  <c r="AS7" i="1"/>
  <c r="AR4" i="1"/>
  <c r="AQ4" i="1"/>
  <c r="AP4" i="1"/>
  <c r="AO4" i="1"/>
  <c r="AN4" i="1"/>
  <c r="AM106" i="1"/>
  <c r="AL106" i="1"/>
  <c r="AK106" i="1"/>
  <c r="AV4" i="1" s="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S4" i="1"/>
  <c r="AT4" i="1"/>
  <c r="AS16" i="1"/>
  <c r="AO115" i="1" s="1"/>
  <c r="AU92" i="1"/>
  <c r="AI105" i="1" s="1"/>
  <c r="C105" i="1"/>
  <c r="K105" i="1"/>
  <c r="P105" i="1"/>
  <c r="I105" i="1"/>
  <c r="D105" i="1"/>
  <c r="AM105" i="1"/>
  <c r="X105" i="1"/>
  <c r="Q105" i="1"/>
  <c r="Y105" i="1"/>
  <c r="AT19" i="1"/>
  <c r="AU22" i="1"/>
  <c r="AU107" i="1"/>
  <c r="AO113" i="1"/>
  <c r="AU104" i="1"/>
  <c r="AU101" i="1" s="1"/>
  <c r="AV16" i="1"/>
  <c r="AU16" i="1"/>
  <c r="AT16" i="1"/>
  <c r="AU89" i="1"/>
  <c r="AU93" i="1" s="1"/>
  <c r="AF105" i="1" l="1"/>
  <c r="O105" i="1"/>
  <c r="AE105" i="1"/>
  <c r="H105" i="1"/>
  <c r="AJ105" i="1"/>
  <c r="G105" i="1"/>
  <c r="W105" i="1"/>
  <c r="AB105" i="1"/>
  <c r="AL105" i="1"/>
  <c r="AD105" i="1"/>
  <c r="T105" i="1"/>
  <c r="AA105" i="1"/>
  <c r="J105" i="1"/>
  <c r="L105" i="1"/>
  <c r="S105" i="1"/>
  <c r="AC105" i="1"/>
  <c r="V105" i="1"/>
  <c r="AH105" i="1"/>
  <c r="N105" i="1"/>
  <c r="F105" i="1"/>
  <c r="E105" i="1"/>
  <c r="AK105" i="1"/>
  <c r="B105" i="1"/>
  <c r="U105" i="1"/>
  <c r="R105" i="1"/>
  <c r="Z105" i="1"/>
  <c r="M105" i="1"/>
  <c r="AG105" i="1"/>
  <c r="AN105" i="1"/>
  <c r="AU103" i="1"/>
  <c r="AO105" i="1"/>
  <c r="AV19" i="1" l="1"/>
  <c r="AP105" i="1"/>
  <c r="AQ105" i="1" l="1"/>
  <c r="AR105" i="1" l="1"/>
  <c r="AS106"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<sst xmlns="http://schemas.openxmlformats.org/spreadsheetml/2006/main" count="1389" uniqueCount="170">
  <si>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</si>
  <si>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</si>
  <si>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</si>
  <si>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</si>
  <si>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</si>
  <si>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</si>
  <si>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</si>
  <si>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</si>
  <si>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</si>
  <si>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</si>
  <si>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</si>
  <si>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</si>
  <si>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</si>
  <si>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</si>
  <si>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</si>
  <si>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</si>
  <si>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</si>
  <si>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</si>
  <si>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</si>
  <si>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</si>
  <si>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</si>
  <si>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</si>
  <si>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</si>
  <si>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</si>
  <si>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</si>
  <si>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</si>
  <si>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</si>
  <si>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</si>
  <si>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</si>
  <si>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</si>
  <si>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</si>
  <si>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</si>
  <si>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</si>
  <si>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</si>
  <si>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</si>
  <si>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</si>
  <si>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</si>
  <si>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</si>
  <si>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</si>
  <si>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</si>
  <si>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</si>
  <si>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</si>
  <si>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</si>
  <si>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</si>
  <si>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</si>
  <si>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</si>
  <si>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</si>
  <si>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</si>
  <si>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</si>
  <si>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</si>
  <si>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</si>
  <si>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</si>
  <si>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</si>
  <si>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</si>
  <si>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</si>
  <si>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</si>
  <si>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</si>
  <si>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</si>
  <si>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</si>
  <si>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</si>
  <si>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</si>
  <si>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</si>
  <si>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</si>
  <si>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</si>
  <si>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</si>
  <si>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</si>
  <si>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</si>
  <si>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</si>
  <si>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</si>
  <si>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</si>
  <si>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</si>
  <si>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</si>
  <si>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</si>
  <si>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</si>
  <si>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</si>
  <si>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</si>
  <si>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</si>
  <si>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</si>
  <si>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</si>
  <si>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</si>
  <si>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</si>
  <si>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</si>
  <si>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</si>
  <si>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</si>
  <si>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</si>
  <si>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</si>
  <si>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</si>
  <si>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</si>
  <si>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</si>
  <si>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</si>
  <si>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</si>
  <si>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</si>
  <si>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</si>
  <si>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</si>
  <si>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</si>
  <si>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</si>
  <si>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</si>
  <si>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</si>
  <si>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</si>
  <si>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</si>
  <si>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</si>
  <si>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</si>
  <si>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</si>
  <si>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</si>
  <si>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</si>
  <si>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</si>
  <si>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</si>
  <si>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</si>
  <si>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</si>
  <si>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</si>
  <si>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</si>
  <si>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</si>
  <si>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</si>
  <si>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</si>
  <si>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</si>
  <si>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</si>
  <si>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</si>
  <si>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</si>
  <si>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</si>
  <si>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</si>
  <si>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</si>
  <si>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</si>
  <si>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</si>
  <si>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</si>
  <si>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</si>
  <si>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</si>
  <si>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</si>
  <si>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</si>
  <si>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</si>
  <si>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</si>
  <si>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</si>
  <si>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</si>
  <si>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</si>
  <si>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</si>
  <si>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</si>
  <si>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</si>
  <si>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</si>
  <si>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</si>
  <si>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</si>
  <si>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</si>
  <si>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</si>
  <si>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</si>
  <si>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</si>
  <si>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</si>
  <si>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</si>
  <si>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</si>
  <si>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</si>
  <si>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</si>
  <si>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</si>
  <si>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</si>
  <si>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</si>
  <si>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</si>
  <si>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</si>
  <si>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</si>
  <si>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</si>
  <si>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</si>
  <si>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</si>
  <si>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</si>
  <si>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 Growth YoY</t>
  </si>
  <si>
    <t>Levered FCF</t>
  </si>
  <si>
    <t>Unlevered FCF Proj</t>
  </si>
  <si>
    <t>Forward P/S</t>
  </si>
  <si>
    <t>Forward P/E</t>
  </si>
  <si>
    <t>Forward P/FCF</t>
  </si>
  <si>
    <t>Dividend Yield</t>
  </si>
  <si>
    <t>5Y Fwd FCF CAGR</t>
  </si>
  <si>
    <t>-</t>
  </si>
  <si>
    <t>Forward FCF Yield</t>
  </si>
  <si>
    <t>5Y Fwd Income CAGR</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</si>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</sst>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0" fillId="7" borderId="0" xfId="0" applyNumberFormat="1" applyFont="1" applyFill="1" applyAlignment="1">
      <alignment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10" fontId="12" fillId="5"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972473279369476"/>
          <c:w val="0.82499173553719007"/>
          <c:h val="0.620363578657377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pt idx="38">
                  <c:v>15430000000</c:v>
                </c:pt>
                <c:pt idx="39">
                  <c:v>20211000000</c:v>
                </c:pt>
                <c:pt idx="40">
                  <c:v>28213000000</c:v>
                </c:pt>
                <c:pt idx="41">
                  <c:v>33324000000</c:v>
                </c:pt>
                <c:pt idx="42">
                  <c:v>33942000000</c:v>
                </c:pt>
              </c:numCache>
            </c:numRef>
          </c:val>
          <c:extLst>
            <c:ext xmlns:c16="http://schemas.microsoft.com/office/drawing/2014/chart" uri="{C3380CC4-5D6E-409C-BE32-E72D297353CC}">
              <c16:uniqueId val="{00000000-7BC4-4047-A94A-070205C5EB2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200000</c:v>
                </c:pt>
                <c:pt idx="1">
                  <c:v>-33900000</c:v>
                </c:pt>
                <c:pt idx="2">
                  <c:v>-22900000</c:v>
                </c:pt>
                <c:pt idx="3">
                  <c:v>98000000</c:v>
                </c:pt>
                <c:pt idx="4">
                  <c:v>106100000</c:v>
                </c:pt>
                <c:pt idx="5">
                  <c:v>4900000</c:v>
                </c:pt>
                <c:pt idx="6">
                  <c:v>5100000</c:v>
                </c:pt>
                <c:pt idx="7">
                  <c:v>6600000</c:v>
                </c:pt>
                <c:pt idx="8">
                  <c:v>104100000</c:v>
                </c:pt>
                <c:pt idx="9">
                  <c:v>400500000</c:v>
                </c:pt>
                <c:pt idx="10">
                  <c:v>844100000</c:v>
                </c:pt>
                <c:pt idx="11">
                  <c:v>593500000</c:v>
                </c:pt>
                <c:pt idx="12">
                  <c:v>332200000</c:v>
                </c:pt>
                <c:pt idx="13">
                  <c:v>-233700000</c:v>
                </c:pt>
                <c:pt idx="14">
                  <c:v>-68900000</c:v>
                </c:pt>
                <c:pt idx="15">
                  <c:v>1504200000</c:v>
                </c:pt>
                <c:pt idx="16">
                  <c:v>-625000000</c:v>
                </c:pt>
                <c:pt idx="17">
                  <c:v>-907000000</c:v>
                </c:pt>
                <c:pt idx="18">
                  <c:v>-1273200000</c:v>
                </c:pt>
                <c:pt idx="19">
                  <c:v>157200000</c:v>
                </c:pt>
                <c:pt idx="20">
                  <c:v>188000000</c:v>
                </c:pt>
                <c:pt idx="21">
                  <c:v>408000000</c:v>
                </c:pt>
                <c:pt idx="22">
                  <c:v>-320000000</c:v>
                </c:pt>
                <c:pt idx="23">
                  <c:v>-1619000000</c:v>
                </c:pt>
                <c:pt idx="24">
                  <c:v>-1835000000</c:v>
                </c:pt>
                <c:pt idx="25">
                  <c:v>1850000000</c:v>
                </c:pt>
                <c:pt idx="26">
                  <c:v>167000000</c:v>
                </c:pt>
                <c:pt idx="27">
                  <c:v>-1032000000</c:v>
                </c:pt>
                <c:pt idx="28">
                  <c:v>1190000000</c:v>
                </c:pt>
                <c:pt idx="29">
                  <c:v>3045000000</c:v>
                </c:pt>
                <c:pt idx="30">
                  <c:v>2899000000</c:v>
                </c:pt>
                <c:pt idx="31">
                  <c:v>-276000000</c:v>
                </c:pt>
                <c:pt idx="32">
                  <c:v>5089000000</c:v>
                </c:pt>
                <c:pt idx="33">
                  <c:v>14135000000</c:v>
                </c:pt>
                <c:pt idx="34">
                  <c:v>6313000000</c:v>
                </c:pt>
                <c:pt idx="35">
                  <c:v>2687000000</c:v>
                </c:pt>
                <c:pt idx="36">
                  <c:v>5861000000</c:v>
                </c:pt>
                <c:pt idx="37">
                  <c:v>8687000000</c:v>
                </c:pt>
                <c:pt idx="38">
                  <c:v>-4983000000</c:v>
                </c:pt>
                <c:pt idx="39">
                  <c:v>-985000000</c:v>
                </c:pt>
                <c:pt idx="40">
                  <c:v>5723000000</c:v>
                </c:pt>
                <c:pt idx="41">
                  <c:v>8656000000</c:v>
                </c:pt>
                <c:pt idx="42">
                  <c:v>7579000000</c:v>
                </c:pt>
              </c:numCache>
            </c:numRef>
          </c:val>
          <c:extLst>
            <c:ext xmlns:c16="http://schemas.microsoft.com/office/drawing/2014/chart" uri="{C3380CC4-5D6E-409C-BE32-E72D297353CC}">
              <c16:uniqueId val="{00000001-7BC4-4047-A94A-070205C5EB2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pt idx="38">
                  <c:v>-6909000000</c:v>
                </c:pt>
                <c:pt idx="39">
                  <c:v>-3084000000</c:v>
                </c:pt>
                <c:pt idx="40">
                  <c:v>1667000000</c:v>
                </c:pt>
                <c:pt idx="41">
                  <c:v>4919000000</c:v>
                </c:pt>
                <c:pt idx="42">
                  <c:v>3545000000</c:v>
                </c:pt>
              </c:numCache>
            </c:numRef>
          </c:val>
          <c:extLst>
            <c:ext xmlns:c16="http://schemas.microsoft.com/office/drawing/2014/chart" uri="{C3380CC4-5D6E-409C-BE32-E72D297353CC}">
              <c16:uniqueId val="{00000002-7BC4-4047-A94A-070205C5EB26}"/>
            </c:ext>
          </c:extLst>
        </c:ser>
        <c:dLbls>
          <c:showLegendKey val="0"/>
          <c:showVal val="0"/>
          <c:showCatName val="0"/>
          <c:showSerName val="0"/>
          <c:showPercent val="0"/>
          <c:showBubbleSize val="0"/>
        </c:dLbls>
        <c:gapWidth val="150"/>
        <c:overlap val="100"/>
        <c:axId val="2055833120"/>
        <c:axId val="2055835120"/>
      </c:barChart>
      <c:catAx>
        <c:axId val="2055833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55835120"/>
        <c:crosses val="autoZero"/>
        <c:auto val="1"/>
        <c:lblAlgn val="ctr"/>
        <c:lblOffset val="100"/>
        <c:noMultiLvlLbl val="0"/>
      </c:catAx>
      <c:valAx>
        <c:axId val="2055835120"/>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55833120"/>
        <c:crosses val="autoZero"/>
        <c:crossBetween val="between"/>
      </c:valAx>
      <c:spPr>
        <a:noFill/>
        <a:ln>
          <a:noFill/>
        </a:ln>
        <a:effectLst/>
      </c:spPr>
    </c:plotArea>
    <c:legend>
      <c:legendPos val="b"/>
      <c:layout>
        <c:manualLayout>
          <c:xMode val="edge"/>
          <c:yMode val="edge"/>
          <c:x val="0.3431097806989003"/>
          <c:y val="0.88173832776677452"/>
          <c:w val="0.31378033448298304"/>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109</xdr:row>
      <xdr:rowOff>17462</xdr:rowOff>
    </xdr:from>
    <xdr:to>
      <xdr:col>46</xdr:col>
      <xdr:colOff>1603374</xdr:colOff>
      <xdr:row>125</xdr:row>
      <xdr:rowOff>174624</xdr:rowOff>
    </xdr:to>
    <xdr:graphicFrame macro="">
      <xdr:nvGraphicFramePr>
        <xdr:cNvPr id="2" name="Chart 1">
          <a:extLst>
            <a:ext uri="{FF2B5EF4-FFF2-40B4-BE49-F238E27FC236}">
              <a16:creationId xmlns:a16="http://schemas.microsoft.com/office/drawing/2014/main" id="{B68D5275-81C0-BDFF-3199-86399860B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Commodities"/>
      <sheetName val="Full Portfolio"/>
      <sheetName val="Growth"/>
      <sheetName val="ROIC"/>
      <sheetName val="Treasurie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4.7160000000000001E-2</v>
          </cell>
        </row>
      </sheetData>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74.769900000000007</v>
    <v>48.43</v>
    <v>1.3052999999999999</v>
    <v>1.0249999999999999</v>
    <v>1.4869E-2</v>
    <v>0.02</v>
    <v>2.8590000000000001E-4</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70.325000000000003</v>
    <v>Semiconductors &amp; Semiconductor Equipment</v>
    <v>Stock</v>
    <v>45205.995257568749</v>
    <v>0</v>
    <v>68.000100000000003</v>
    <v>76627300000</v>
    <v>MICRON TECHNOLOGY, INC.</v>
    <v>MICRON TECHNOLOGY, INC.</v>
    <v>68.709999999999994</v>
    <v>46.887099999999997</v>
    <v>68.935000000000002</v>
    <v>69.959999999999994</v>
    <v>69.98</v>
    <v>1095302000</v>
    <v>MU</v>
    <v>MICRON TECHNOLOGY, INC. (XNAS:MU)</v>
    <v>15113360</v>
    <v>15075529</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hyperlink" Target="https://finbox.com/NASDAQGS:ZS/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2" activePane="bottomRight" state="frozen"/>
      <selection pane="topRight"/>
      <selection pane="bottomLeft"/>
      <selection pane="bottomRight" activeCell="AP16" sqref="AP1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4">
        <v>15430000000</v>
      </c>
      <c r="AO3" s="24">
        <v>20211000000</v>
      </c>
      <c r="AP3" s="24">
        <v>28213000000</v>
      </c>
      <c r="AQ3" s="24">
        <v>33324000000</v>
      </c>
      <c r="AR3" s="24">
        <v>33942000000</v>
      </c>
      <c r="AS3" s="18" t="s">
        <v>107</v>
      </c>
      <c r="AT3" s="19" t="s">
        <v>108</v>
      </c>
      <c r="AU3" s="19" t="s">
        <v>109</v>
      </c>
      <c r="AV3" s="19" t="s">
        <v>110</v>
      </c>
    </row>
    <row r="4" spans="1:48" ht="19" x14ac:dyDescent="0.25">
      <c r="A4" s="14" t="s">
        <v>93</v>
      </c>
      <c r="B4" s="1"/>
      <c r="C4" s="42">
        <f>(C3/B3)-1</f>
        <v>-0.35573122529644263</v>
      </c>
      <c r="D4" s="42">
        <f>(D3/C3)-1</f>
        <v>0.86503067484662566</v>
      </c>
      <c r="E4" s="42">
        <f>(E3/D3)-1</f>
        <v>2.2949561403508771</v>
      </c>
      <c r="F4" s="42">
        <f t="shared" ref="F4:AR4" si="0">(F3/E3)-1</f>
        <v>0.48552412645590692</v>
      </c>
      <c r="G4" s="42">
        <f t="shared" si="0"/>
        <v>-0.25336021505376349</v>
      </c>
      <c r="H4" s="42">
        <f t="shared" si="0"/>
        <v>0.27632763276327643</v>
      </c>
      <c r="I4" s="42">
        <f t="shared" si="0"/>
        <v>0.19017395392571701</v>
      </c>
      <c r="J4" s="42">
        <f t="shared" si="0"/>
        <v>0.63598656922773067</v>
      </c>
      <c r="K4" s="42">
        <f t="shared" si="0"/>
        <v>0.96619582276952798</v>
      </c>
      <c r="L4" s="42">
        <f t="shared" si="0"/>
        <v>0.81302959597200042</v>
      </c>
      <c r="M4" s="42">
        <f t="shared" si="0"/>
        <v>0.23744369560063672</v>
      </c>
      <c r="N4" s="42">
        <f t="shared" si="0"/>
        <v>-3.7851004433740232E-2</v>
      </c>
      <c r="O4" s="42">
        <f t="shared" si="0"/>
        <v>-0.14325131560233251</v>
      </c>
      <c r="P4" s="42">
        <f t="shared" si="0"/>
        <v>0.24970948570669682</v>
      </c>
      <c r="Q4" s="42">
        <f t="shared" si="0"/>
        <v>0.94907013815090324</v>
      </c>
      <c r="R4" s="42">
        <f t="shared" si="0"/>
        <v>-0.46350340089690989</v>
      </c>
      <c r="S4" s="42">
        <f t="shared" si="0"/>
        <v>-0.34220889758378004</v>
      </c>
      <c r="T4" s="42">
        <f t="shared" si="0"/>
        <v>0.19401313248358432</v>
      </c>
      <c r="U4" s="42">
        <f t="shared" si="0"/>
        <v>0.42470805162876468</v>
      </c>
      <c r="V4" s="42">
        <f t="shared" si="0"/>
        <v>0.1080786521956314</v>
      </c>
      <c r="W4" s="42">
        <f t="shared" si="0"/>
        <v>8.0283594934633884E-2</v>
      </c>
      <c r="X4" s="42">
        <f t="shared" si="0"/>
        <v>7.8907435508345891E-2</v>
      </c>
      <c r="Y4" s="42">
        <f t="shared" si="0"/>
        <v>2.6898734177215111E-2</v>
      </c>
      <c r="Z4" s="42">
        <f t="shared" si="0"/>
        <v>-0.17770929635336419</v>
      </c>
      <c r="AA4" s="42">
        <f t="shared" si="0"/>
        <v>0.76597959608577981</v>
      </c>
      <c r="AB4" s="42">
        <f t="shared" si="0"/>
        <v>3.6076397076161282E-2</v>
      </c>
      <c r="AC4" s="42">
        <f t="shared" si="0"/>
        <v>-6.3040509786071897E-2</v>
      </c>
      <c r="AD4" s="42">
        <f t="shared" si="0"/>
        <v>0.10189458343453972</v>
      </c>
      <c r="AE4" s="42">
        <f t="shared" si="0"/>
        <v>0.80293177559792794</v>
      </c>
      <c r="AF4" s="42">
        <f t="shared" si="0"/>
        <v>-1.0147939845946974E-2</v>
      </c>
      <c r="AG4" s="42">
        <f t="shared" si="0"/>
        <v>-0.23425148221343872</v>
      </c>
      <c r="AH4" s="42">
        <f t="shared" si="0"/>
        <v>0.63900314541495273</v>
      </c>
      <c r="AI4" s="42">
        <f t="shared" si="0"/>
        <v>0.49547288652691668</v>
      </c>
      <c r="AJ4" s="42">
        <f t="shared" si="0"/>
        <v>-0.22983778092198348</v>
      </c>
      <c r="AK4" s="42">
        <f t="shared" si="0"/>
        <v>-8.4209177134068169E-2</v>
      </c>
      <c r="AL4" s="42">
        <f t="shared" si="0"/>
        <v>0.29251224632610207</v>
      </c>
      <c r="AM4" s="42">
        <f t="shared" si="0"/>
        <v>0.11019671539433307</v>
      </c>
      <c r="AN4" s="16">
        <f t="shared" si="0"/>
        <v>-0.49834189479159896</v>
      </c>
      <c r="AO4" s="16">
        <f t="shared" si="0"/>
        <v>0.30985093972780309</v>
      </c>
      <c r="AP4" s="16">
        <f t="shared" si="0"/>
        <v>0.39592301222106774</v>
      </c>
      <c r="AQ4" s="16">
        <f t="shared" si="0"/>
        <v>0.18115762237266497</v>
      </c>
      <c r="AR4" s="16">
        <f t="shared" si="0"/>
        <v>1.8545192653943054E-2</v>
      </c>
      <c r="AS4" s="17">
        <f>(AM4+AL4+AK4)/3</f>
        <v>0.10616659486212232</v>
      </c>
      <c r="AT4" s="17">
        <f>(AM20+AL20+AK20)/3</f>
        <v>0.15724441152359311</v>
      </c>
      <c r="AU4" s="17">
        <f>(AM29+AL29+AK29)/3</f>
        <v>0.3630143177212985</v>
      </c>
      <c r="AV4" s="17">
        <f>(AM106+AL106+AK106)/3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111</v>
      </c>
      <c r="AT6" s="19" t="s">
        <v>112</v>
      </c>
      <c r="AU6" s="19" t="s">
        <v>113</v>
      </c>
      <c r="AV6" s="19" t="s">
        <v>114</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AM107/AM3</f>
        <v>0.10124195331295922</v>
      </c>
    </row>
    <row r="8" spans="1:48" ht="19" x14ac:dyDescent="0.25">
      <c r="A8" s="5" t="s">
        <v>5</v>
      </c>
      <c r="B8" s="1" t="s">
        <v>91</v>
      </c>
      <c r="C8" s="1" t="s">
        <v>91</v>
      </c>
      <c r="D8" s="1" t="s">
        <v>91</v>
      </c>
      <c r="E8" s="1" t="s">
        <v>91</v>
      </c>
      <c r="F8" s="1" t="s">
        <v>91</v>
      </c>
      <c r="G8" s="1" t="s">
        <v>91</v>
      </c>
      <c r="H8" s="1" t="s">
        <v>91</v>
      </c>
      <c r="I8" s="1" t="s">
        <v>91</v>
      </c>
      <c r="J8" s="1" t="s">
        <v>91</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0.10130697704662202</v>
      </c>
      <c r="AT10" s="20">
        <f>AM13</f>
        <v>3.4657650042265425E-2</v>
      </c>
      <c r="AU10" s="20">
        <f>AM80</f>
        <v>1.6711099551336237E-2</v>
      </c>
      <c r="AV10" s="20">
        <f>AM89</f>
        <v>0.39232069705442485</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115</v>
      </c>
      <c r="AT12" s="19" t="s">
        <v>116</v>
      </c>
      <c r="AU12" s="19" t="s">
        <v>117</v>
      </c>
      <c r="AV12" s="19" t="s">
        <v>118</v>
      </c>
    </row>
    <row r="13" spans="1:48" ht="19" x14ac:dyDescent="0.25">
      <c r="A13" s="14" t="s">
        <v>99</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91</v>
      </c>
      <c r="L14" s="1">
        <v>29000000</v>
      </c>
      <c r="M14" s="1" t="s">
        <v>91</v>
      </c>
      <c r="N14" s="1" t="s">
        <v>91</v>
      </c>
      <c r="O14" s="1" t="s">
        <v>91</v>
      </c>
      <c r="P14" s="1" t="s">
        <v>91</v>
      </c>
      <c r="Q14" s="1" t="s">
        <v>91</v>
      </c>
      <c r="R14" s="1">
        <v>73600000</v>
      </c>
      <c r="S14" s="1">
        <v>21100000</v>
      </c>
      <c r="T14" s="1" t="s">
        <v>91</v>
      </c>
      <c r="U14" s="1" t="s">
        <v>91</v>
      </c>
      <c r="V14" s="1" t="s">
        <v>91</v>
      </c>
      <c r="W14" s="1">
        <v>-265000000</v>
      </c>
      <c r="X14" s="1">
        <v>-76000000</v>
      </c>
      <c r="Y14" s="1">
        <v>372000000</v>
      </c>
      <c r="Z14" s="1">
        <v>107000000</v>
      </c>
      <c r="AA14" s="1">
        <v>-17000000</v>
      </c>
      <c r="AB14" s="1" t="s">
        <v>91</v>
      </c>
      <c r="AC14" s="1" t="s">
        <v>91</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119</v>
      </c>
      <c r="AT15" s="19" t="s">
        <v>120</v>
      </c>
      <c r="AU15" s="19" t="s">
        <v>121</v>
      </c>
      <c r="AV15" s="19" t="s">
        <v>122</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5">
        <f>(AM35+AL35+AK35+AJ35+AI35)/5</f>
        <v>-4.6586539405968682E-3</v>
      </c>
      <c r="AT16" s="33">
        <f>AU102/AM3</f>
        <v>2.4912965732492358</v>
      </c>
      <c r="AU16" s="33">
        <f>AU102/AM28</f>
        <v>8.820916311730171</v>
      </c>
      <c r="AV16" s="35">
        <f>AU102/AM107</f>
        <v>24.607353885677586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8"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123</v>
      </c>
      <c r="AT18" s="19" t="s">
        <v>161</v>
      </c>
      <c r="AU18" s="19" t="s">
        <v>162</v>
      </c>
      <c r="AV18" s="19" t="s">
        <v>163</v>
      </c>
    </row>
    <row r="19" spans="1:48"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N19" s="37">
        <v>2178000000</v>
      </c>
      <c r="AO19" s="37">
        <v>7595000000</v>
      </c>
      <c r="AP19" s="37">
        <v>14181000000</v>
      </c>
      <c r="AQ19" s="37">
        <v>16698000000</v>
      </c>
      <c r="AR19" s="37">
        <v>15610000000</v>
      </c>
      <c r="AS19" s="26">
        <f>AM40-AM56-AM61</f>
        <v>1815000000</v>
      </c>
      <c r="AT19" s="33">
        <f>AU102/AN3</f>
        <v>4.9661244329228778</v>
      </c>
      <c r="AU19" s="34" t="s">
        <v>166</v>
      </c>
      <c r="AV19" s="35">
        <f>AU102/AN105</f>
        <v>27.191778558855152</v>
      </c>
    </row>
    <row r="20" spans="1:48" ht="19" customHeight="1" x14ac:dyDescent="0.25">
      <c r="A20" s="14" t="s">
        <v>100</v>
      </c>
      <c r="B20" s="1"/>
      <c r="C20" s="15">
        <f>(C19/B19)-1</f>
        <v>-2.0869565217391304</v>
      </c>
      <c r="D20" s="15">
        <f>(D19/C19)-1</f>
        <v>-0.95199999999999996</v>
      </c>
      <c r="E20" s="15">
        <f>(E19/D19)-1</f>
        <v>-240.33333333333334</v>
      </c>
      <c r="F20" s="15">
        <f t="shared" ref="F20:AR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c r="AN20" s="16">
        <f t="shared" si="3"/>
        <v>-0.8709715639810427</v>
      </c>
      <c r="AO20" s="16">
        <f t="shared" si="3"/>
        <v>2.4871441689623506</v>
      </c>
      <c r="AP20" s="16">
        <f t="shared" si="3"/>
        <v>0.8671494404213298</v>
      </c>
      <c r="AQ20" s="16">
        <f t="shared" si="3"/>
        <v>0.17749100909667859</v>
      </c>
      <c r="AR20" s="16">
        <f t="shared" si="3"/>
        <v>-6.5157503892681712E-2</v>
      </c>
    </row>
    <row r="21" spans="1:48" ht="20"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c r="AN21" s="38">
        <f>AN19/AN3</f>
        <v>0.14115359688917692</v>
      </c>
      <c r="AO21" s="38">
        <f t="shared" ref="AO21:AR21" si="4">AO19/AO3</f>
        <v>0.37578546336153579</v>
      </c>
      <c r="AP21" s="38">
        <f t="shared" si="4"/>
        <v>0.50264062666146814</v>
      </c>
      <c r="AQ21" s="38">
        <f t="shared" si="4"/>
        <v>0.50108030248469571</v>
      </c>
      <c r="AR21" s="38">
        <f t="shared" si="4"/>
        <v>0.45990218608214012</v>
      </c>
      <c r="AT21" s="44" t="s">
        <v>168</v>
      </c>
      <c r="AU21" s="18" t="s">
        <v>164</v>
      </c>
      <c r="AV21" s="19" t="s">
        <v>167</v>
      </c>
    </row>
    <row r="22" spans="1:48"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c r="AT22" s="17">
        <f>SUM(AN29:AR29)/5</f>
        <v>-1.7596049730679844</v>
      </c>
      <c r="AU22" s="43">
        <f>(-1*AM98)/AU102</f>
        <v>6.0161326315816945E-3</v>
      </c>
      <c r="AV22" s="36">
        <f>AN107/AU102</f>
        <v>-9.0163688398260153E-2</v>
      </c>
    </row>
    <row r="23" spans="1:48"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8" ht="19" x14ac:dyDescent="0.25">
      <c r="A24" s="5" t="s">
        <v>18</v>
      </c>
      <c r="B24" s="1">
        <v>-1700000</v>
      </c>
      <c r="C24" s="1" t="s">
        <v>91</v>
      </c>
      <c r="D24" s="1" t="s">
        <v>91</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8" ht="19" x14ac:dyDescent="0.25">
      <c r="A25" s="6" t="s">
        <v>19</v>
      </c>
      <c r="B25" s="10">
        <v>-6500000</v>
      </c>
      <c r="C25" s="10" t="s">
        <v>91</v>
      </c>
      <c r="D25" s="10" t="s">
        <v>91</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8" ht="19" x14ac:dyDescent="0.25">
      <c r="A26" s="5" t="s">
        <v>20</v>
      </c>
      <c r="B26" s="2">
        <v>-8.5599999999999996E-2</v>
      </c>
      <c r="C26" s="2" t="s">
        <v>91</v>
      </c>
      <c r="D26" s="2" t="s">
        <v>91</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8" ht="19" x14ac:dyDescent="0.25">
      <c r="A27" s="5" t="s">
        <v>21</v>
      </c>
      <c r="B27" s="1">
        <v>-6700000</v>
      </c>
      <c r="C27" s="1" t="s">
        <v>91</v>
      </c>
      <c r="D27" s="1" t="s">
        <v>91</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8"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c r="AN28" s="39">
        <v>-4983000000</v>
      </c>
      <c r="AO28" s="39">
        <v>-985000000</v>
      </c>
      <c r="AP28" s="39">
        <v>5723000000</v>
      </c>
      <c r="AQ28" s="39">
        <v>8656000000</v>
      </c>
      <c r="AR28" s="39">
        <v>7579000000</v>
      </c>
    </row>
    <row r="29" spans="1:48" ht="20" customHeight="1" thickTop="1" x14ac:dyDescent="0.25">
      <c r="A29" s="14" t="s">
        <v>101</v>
      </c>
      <c r="B29" s="1"/>
      <c r="C29" s="15">
        <f>(C28/B28)-1</f>
        <v>-170.5</v>
      </c>
      <c r="D29" s="15">
        <f>(D28/C28)-1</f>
        <v>-0.32448377581120946</v>
      </c>
      <c r="E29" s="15">
        <f>(E28/D28)-1</f>
        <v>-5.2794759825327509</v>
      </c>
      <c r="F29" s="15">
        <f t="shared" ref="F29:AR29" si="5">(F28/E28)-1</f>
        <v>8.2653061224489788E-2</v>
      </c>
      <c r="G29" s="15">
        <f t="shared" si="5"/>
        <v>-0.95381715362865216</v>
      </c>
      <c r="H29" s="15">
        <f t="shared" si="5"/>
        <v>4.081632653061229E-2</v>
      </c>
      <c r="I29" s="15">
        <f t="shared" si="5"/>
        <v>0.29411764705882359</v>
      </c>
      <c r="J29" s="15">
        <f t="shared" si="5"/>
        <v>14.772727272727273</v>
      </c>
      <c r="K29" s="15">
        <f t="shared" si="5"/>
        <v>2.8472622478386169</v>
      </c>
      <c r="L29" s="15">
        <f t="shared" si="5"/>
        <v>1.1076154806491885</v>
      </c>
      <c r="M29" s="15">
        <f t="shared" si="5"/>
        <v>-0.29688425541997399</v>
      </c>
      <c r="N29" s="15">
        <f t="shared" si="5"/>
        <v>-0.44026958719460829</v>
      </c>
      <c r="O29" s="15">
        <f t="shared" si="5"/>
        <v>-1.7034918723660446</v>
      </c>
      <c r="P29" s="15">
        <f t="shared" si="5"/>
        <v>-0.70517757809157033</v>
      </c>
      <c r="Q29" s="15">
        <f t="shared" si="5"/>
        <v>-22.831640058055154</v>
      </c>
      <c r="R29" s="15">
        <f t="shared" si="5"/>
        <v>-1.4155032575455393</v>
      </c>
      <c r="S29" s="15">
        <f t="shared" si="5"/>
        <v>0.45120000000000005</v>
      </c>
      <c r="T29" s="15">
        <f t="shared" si="5"/>
        <v>0.40374862183020954</v>
      </c>
      <c r="U29" s="15">
        <f t="shared" si="5"/>
        <v>-1.1234684260131951</v>
      </c>
      <c r="V29" s="15">
        <f t="shared" si="5"/>
        <v>0.1959287531806615</v>
      </c>
      <c r="W29" s="15">
        <f t="shared" si="5"/>
        <v>1.1702127659574466</v>
      </c>
      <c r="X29" s="15">
        <f t="shared" si="5"/>
        <v>-1.784313725490196</v>
      </c>
      <c r="Y29" s="15">
        <f t="shared" si="5"/>
        <v>4.0593750000000002</v>
      </c>
      <c r="Z29" s="15">
        <f t="shared" si="5"/>
        <v>0.13341568869672638</v>
      </c>
      <c r="AA29" s="15">
        <f t="shared" si="5"/>
        <v>-2.0081743869209809</v>
      </c>
      <c r="AB29" s="15">
        <f t="shared" si="5"/>
        <v>-0.90972972972972976</v>
      </c>
      <c r="AC29" s="15">
        <f t="shared" si="5"/>
        <v>-7.1796407185628741</v>
      </c>
      <c r="AD29" s="15">
        <f t="shared" si="5"/>
        <v>-2.1531007751937983</v>
      </c>
      <c r="AE29" s="15">
        <f t="shared" si="5"/>
        <v>1.5588235294117645</v>
      </c>
      <c r="AF29" s="15">
        <f t="shared" si="5"/>
        <v>-4.7947454844006532E-2</v>
      </c>
      <c r="AG29" s="15">
        <f t="shared" si="5"/>
        <v>-1.0952052431873061</v>
      </c>
      <c r="AH29" s="15">
        <f t="shared" si="5"/>
        <v>-19.438405797101449</v>
      </c>
      <c r="AI29" s="15">
        <f t="shared" si="5"/>
        <v>1.7775594419335823</v>
      </c>
      <c r="AJ29" s="15">
        <f t="shared" si="5"/>
        <v>-0.55337813937035729</v>
      </c>
      <c r="AK29" s="15">
        <f t="shared" si="5"/>
        <v>-0.57437034690321553</v>
      </c>
      <c r="AL29" s="15">
        <f t="shared" si="5"/>
        <v>1.1812430219575734</v>
      </c>
      <c r="AM29" s="15">
        <f t="shared" si="5"/>
        <v>0.48217027810953761</v>
      </c>
      <c r="AN29" s="16">
        <f t="shared" si="5"/>
        <v>-1.5736157476689305</v>
      </c>
      <c r="AO29" s="16">
        <f t="shared" si="5"/>
        <v>-0.80232791491069633</v>
      </c>
      <c r="AP29" s="16">
        <f t="shared" si="5"/>
        <v>-6.8101522842639595</v>
      </c>
      <c r="AQ29" s="16">
        <f t="shared" si="5"/>
        <v>0.51249344749257375</v>
      </c>
      <c r="AR29" s="16">
        <f t="shared" si="5"/>
        <v>-0.12442236598890943</v>
      </c>
    </row>
    <row r="30" spans="1:48"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c r="AN30" s="40">
        <f>AN28/AN3</f>
        <v>-0.32294232015554114</v>
      </c>
      <c r="AO30" s="40">
        <f t="shared" ref="AO30:AR30" si="6">AO28/AO3</f>
        <v>-4.8735836920488843E-2</v>
      </c>
      <c r="AP30" s="40">
        <f t="shared" si="6"/>
        <v>0.20284975011519513</v>
      </c>
      <c r="AQ30" s="40">
        <f t="shared" si="6"/>
        <v>0.25975273076461408</v>
      </c>
      <c r="AR30" s="40">
        <f t="shared" si="6"/>
        <v>0.22329267574096989</v>
      </c>
    </row>
    <row r="31" spans="1:48" ht="19" x14ac:dyDescent="0.25">
      <c r="A31" s="5" t="s">
        <v>24</v>
      </c>
      <c r="B31" s="12" t="s">
        <v>90</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c r="AN31" s="41">
        <v>-4.55</v>
      </c>
      <c r="AO31" s="41">
        <v>-0.9</v>
      </c>
      <c r="AP31" s="41">
        <v>5.23</v>
      </c>
      <c r="AQ31" s="41">
        <v>7.9</v>
      </c>
      <c r="AR31" s="41">
        <v>6.92</v>
      </c>
    </row>
    <row r="32" spans="1:48" ht="19" x14ac:dyDescent="0.25">
      <c r="A32" s="5" t="s">
        <v>25</v>
      </c>
      <c r="B32" s="12" t="s">
        <v>90</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40"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c r="AN33" s="1" cm="1">
        <f t="array" ref="AN33">_FV(A1,"Shares outstanding",TRUE)</f>
        <v>1095302000</v>
      </c>
    </row>
    <row r="34" spans="1:40"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c r="AN34" s="1" cm="1">
        <f t="array" ref="AN34">_FV(A1,"Shares outstanding",TRUE)</f>
        <v>1095302000</v>
      </c>
    </row>
    <row r="35" spans="1:40" ht="20" customHeight="1" x14ac:dyDescent="0.25">
      <c r="A35" s="14" t="s">
        <v>102</v>
      </c>
      <c r="B35" s="1"/>
      <c r="C35" s="22">
        <f>(C34-B34)/B34</f>
        <v>-1.7049410229645096E-2</v>
      </c>
      <c r="D35" s="22">
        <f t="shared" ref="D35:AN35" si="7">(D34-C34)/C34</f>
        <v>0.2159292056919101</v>
      </c>
      <c r="E35" s="22">
        <f t="shared" si="7"/>
        <v>0.29681090393013099</v>
      </c>
      <c r="F35" s="22">
        <f t="shared" si="7"/>
        <v>0.23198451793551178</v>
      </c>
      <c r="G35" s="22">
        <f t="shared" si="7"/>
        <v>8.5002826570687758E-3</v>
      </c>
      <c r="H35" s="22">
        <f t="shared" si="7"/>
        <v>0.21960473965504157</v>
      </c>
      <c r="I35" s="22">
        <f t="shared" si="7"/>
        <v>-0.26666666666666666</v>
      </c>
      <c r="J35" s="22">
        <f t="shared" si="7"/>
        <v>0.21328671212121211</v>
      </c>
      <c r="K35" s="22">
        <f t="shared" si="7"/>
        <v>5.0989434246867853E-2</v>
      </c>
      <c r="L35" s="22">
        <f t="shared" si="7"/>
        <v>2.7566539923954372E-2</v>
      </c>
      <c r="M35" s="22">
        <f t="shared" si="7"/>
        <v>-5.5504162812210914E-3</v>
      </c>
      <c r="N35" s="22">
        <f t="shared" si="7"/>
        <v>1.1627906976744186E-2</v>
      </c>
      <c r="O35" s="22">
        <f t="shared" si="7"/>
        <v>-2.4367816091954021E-2</v>
      </c>
      <c r="P35" s="22">
        <f t="shared" si="7"/>
        <v>0.2285579641847314</v>
      </c>
      <c r="Q35" s="22">
        <f t="shared" si="7"/>
        <v>0.1611047180667434</v>
      </c>
      <c r="R35" s="22">
        <f t="shared" si="7"/>
        <v>-2.1473406012553684E-2</v>
      </c>
      <c r="S35" s="22">
        <f t="shared" si="7"/>
        <v>1.536124240378123E-2</v>
      </c>
      <c r="T35" s="22">
        <f t="shared" si="7"/>
        <v>9.9750623441396506E-3</v>
      </c>
      <c r="U35" s="22">
        <f t="shared" si="7"/>
        <v>6.2880658436213988E-2</v>
      </c>
      <c r="V35" s="22">
        <f t="shared" si="7"/>
        <v>8.7192194517577828E-2</v>
      </c>
      <c r="W35" s="22">
        <f t="shared" si="7"/>
        <v>3.2763532763532763E-2</v>
      </c>
      <c r="X35" s="22">
        <f t="shared" si="7"/>
        <v>6.0827586206896551E-2</v>
      </c>
      <c r="Y35" s="22">
        <f t="shared" si="7"/>
        <v>4.4207515277597193E-3</v>
      </c>
      <c r="Z35" s="22">
        <f t="shared" si="7"/>
        <v>3.6504854368932041E-2</v>
      </c>
      <c r="AA35" s="22">
        <f t="shared" si="7"/>
        <v>0.31222680154864496</v>
      </c>
      <c r="AB35" s="22">
        <f t="shared" si="7"/>
        <v>-4.1115446844960504E-2</v>
      </c>
      <c r="AC35" s="22">
        <f t="shared" si="7"/>
        <v>-1.6178660049627792E-2</v>
      </c>
      <c r="AD35" s="22">
        <f t="shared" si="7"/>
        <v>6.5677966101694921E-2</v>
      </c>
      <c r="AE35" s="22">
        <f t="shared" si="7"/>
        <v>0.13414749597652181</v>
      </c>
      <c r="AF35" s="22">
        <f t="shared" si="7"/>
        <v>-2.337228714524207E-2</v>
      </c>
      <c r="AG35" s="22">
        <f t="shared" si="7"/>
        <v>-0.11452991452991453</v>
      </c>
      <c r="AH35" s="22">
        <f t="shared" si="7"/>
        <v>0.11389961389961389</v>
      </c>
      <c r="AI35" s="22">
        <f t="shared" si="7"/>
        <v>6.4991334488734842E-2</v>
      </c>
      <c r="AJ35" s="22">
        <f t="shared" si="7"/>
        <v>-6.9975589910496336E-2</v>
      </c>
      <c r="AK35" s="22">
        <f t="shared" si="7"/>
        <v>-1.0498687664041995E-2</v>
      </c>
      <c r="AL35" s="22">
        <f t="shared" si="7"/>
        <v>8.8417329796640146E-3</v>
      </c>
      <c r="AM35" s="22">
        <f t="shared" si="7"/>
        <v>-1.6652059596844872E-2</v>
      </c>
      <c r="AN35" s="22">
        <f t="shared" si="7"/>
        <v>-2.3795008912655971E-2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40" ht="19" x14ac:dyDescent="0.25">
      <c r="A39" s="5" t="s">
        <v>31</v>
      </c>
      <c r="B39" s="1" t="s">
        <v>91</v>
      </c>
      <c r="C39" s="1" t="s">
        <v>91</v>
      </c>
      <c r="D39" s="1" t="s">
        <v>91</v>
      </c>
      <c r="E39" s="1" t="s">
        <v>91</v>
      </c>
      <c r="F39" s="1" t="s">
        <v>91</v>
      </c>
      <c r="G39" s="1" t="s">
        <v>91</v>
      </c>
      <c r="H39" s="1" t="s">
        <v>91</v>
      </c>
      <c r="I39" s="1" t="s">
        <v>91</v>
      </c>
      <c r="J39" s="1" t="s">
        <v>91</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91</v>
      </c>
      <c r="AA39" s="1" t="s">
        <v>91</v>
      </c>
      <c r="AB39" s="1" t="s">
        <v>91</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40" ht="19" x14ac:dyDescent="0.25">
      <c r="A40" s="5" t="s">
        <v>32</v>
      </c>
      <c r="B40" s="1" t="s">
        <v>91</v>
      </c>
      <c r="C40" s="1" t="s">
        <v>91</v>
      </c>
      <c r="D40" s="1" t="s">
        <v>91</v>
      </c>
      <c r="E40" s="1" t="s">
        <v>91</v>
      </c>
      <c r="F40" s="1" t="s">
        <v>91</v>
      </c>
      <c r="G40" s="1" t="s">
        <v>91</v>
      </c>
      <c r="H40" s="1" t="s">
        <v>91</v>
      </c>
      <c r="I40" s="1" t="s">
        <v>91</v>
      </c>
      <c r="J40" s="1" t="s">
        <v>91</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40" ht="19" x14ac:dyDescent="0.25">
      <c r="A41" s="5" t="s">
        <v>33</v>
      </c>
      <c r="B41" s="1" t="s">
        <v>91</v>
      </c>
      <c r="C41" s="1" t="s">
        <v>91</v>
      </c>
      <c r="D41" s="1" t="s">
        <v>91</v>
      </c>
      <c r="E41" s="1" t="s">
        <v>91</v>
      </c>
      <c r="F41" s="1" t="s">
        <v>91</v>
      </c>
      <c r="G41" s="1" t="s">
        <v>91</v>
      </c>
      <c r="H41" s="1" t="s">
        <v>91</v>
      </c>
      <c r="I41" s="1" t="s">
        <v>91</v>
      </c>
      <c r="J41" s="1" t="s">
        <v>91</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40" ht="19" x14ac:dyDescent="0.25">
      <c r="A42" s="5" t="s">
        <v>34</v>
      </c>
      <c r="B42" s="1" t="s">
        <v>91</v>
      </c>
      <c r="C42" s="1" t="s">
        <v>91</v>
      </c>
      <c r="D42" s="1" t="s">
        <v>91</v>
      </c>
      <c r="E42" s="1" t="s">
        <v>91</v>
      </c>
      <c r="F42" s="1" t="s">
        <v>91</v>
      </c>
      <c r="G42" s="1" t="s">
        <v>91</v>
      </c>
      <c r="H42" s="1" t="s">
        <v>91</v>
      </c>
      <c r="I42" s="1" t="s">
        <v>91</v>
      </c>
      <c r="J42" s="1" t="s">
        <v>91</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40" ht="19" x14ac:dyDescent="0.25">
      <c r="A43" s="5" t="s">
        <v>35</v>
      </c>
      <c r="B43" s="1" t="s">
        <v>91</v>
      </c>
      <c r="C43" s="1" t="s">
        <v>91</v>
      </c>
      <c r="D43" s="1" t="s">
        <v>91</v>
      </c>
      <c r="E43" s="1" t="s">
        <v>91</v>
      </c>
      <c r="F43" s="1" t="s">
        <v>91</v>
      </c>
      <c r="G43" s="1" t="s">
        <v>91</v>
      </c>
      <c r="H43" s="1" t="s">
        <v>91</v>
      </c>
      <c r="I43" s="1" t="s">
        <v>91</v>
      </c>
      <c r="J43" s="1" t="s">
        <v>91</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40" ht="19" x14ac:dyDescent="0.25">
      <c r="A44" s="6" t="s">
        <v>36</v>
      </c>
      <c r="B44" s="10" t="s">
        <v>91</v>
      </c>
      <c r="C44" s="10" t="s">
        <v>91</v>
      </c>
      <c r="D44" s="10" t="s">
        <v>91</v>
      </c>
      <c r="E44" s="10" t="s">
        <v>91</v>
      </c>
      <c r="F44" s="10" t="s">
        <v>91</v>
      </c>
      <c r="G44" s="10" t="s">
        <v>91</v>
      </c>
      <c r="H44" s="10" t="s">
        <v>91</v>
      </c>
      <c r="I44" s="10" t="s">
        <v>91</v>
      </c>
      <c r="J44" s="10" t="s">
        <v>91</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40" ht="19" x14ac:dyDescent="0.25">
      <c r="A45" s="5" t="s">
        <v>37</v>
      </c>
      <c r="B45" s="1" t="s">
        <v>91</v>
      </c>
      <c r="C45" s="1" t="s">
        <v>91</v>
      </c>
      <c r="D45" s="1" t="s">
        <v>91</v>
      </c>
      <c r="E45" s="1" t="s">
        <v>91</v>
      </c>
      <c r="F45" s="1" t="s">
        <v>91</v>
      </c>
      <c r="G45" s="1" t="s">
        <v>91</v>
      </c>
      <c r="H45" s="1" t="s">
        <v>91</v>
      </c>
      <c r="I45" s="1" t="s">
        <v>91</v>
      </c>
      <c r="J45" s="1" t="s">
        <v>91</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502000000</v>
      </c>
      <c r="X46" s="1">
        <v>515000000</v>
      </c>
      <c r="Y46" s="1">
        <v>58000000</v>
      </c>
      <c r="Z46" s="1" t="s">
        <v>91</v>
      </c>
      <c r="AA46" s="1" t="s">
        <v>91</v>
      </c>
      <c r="AB46" s="1" t="s">
        <v>91</v>
      </c>
      <c r="AC46" s="1" t="s">
        <v>91</v>
      </c>
      <c r="AD46" s="1" t="s">
        <v>91</v>
      </c>
      <c r="AE46" s="1" t="s">
        <v>91</v>
      </c>
      <c r="AF46" s="1" t="s">
        <v>91</v>
      </c>
      <c r="AG46" s="1">
        <v>104000000</v>
      </c>
      <c r="AH46" s="1">
        <v>1228000000</v>
      </c>
      <c r="AI46" s="1">
        <v>1228000000</v>
      </c>
      <c r="AJ46" s="1">
        <v>1228000000</v>
      </c>
      <c r="AK46" s="1">
        <v>1228000000</v>
      </c>
      <c r="AL46" s="1">
        <v>1228000000</v>
      </c>
      <c r="AM46" s="1">
        <v>1228000000</v>
      </c>
    </row>
    <row r="47" spans="1:40" ht="19" x14ac:dyDescent="0.25">
      <c r="A47" s="5" t="s">
        <v>39</v>
      </c>
      <c r="B47" s="1" t="s">
        <v>91</v>
      </c>
      <c r="C47" s="1" t="s">
        <v>91</v>
      </c>
      <c r="D47" s="1" t="s">
        <v>91</v>
      </c>
      <c r="E47" s="1" t="s">
        <v>91</v>
      </c>
      <c r="F47" s="1" t="s">
        <v>91</v>
      </c>
      <c r="G47" s="1" t="s">
        <v>91</v>
      </c>
      <c r="H47" s="1" t="s">
        <v>91</v>
      </c>
      <c r="I47" s="1" t="s">
        <v>91</v>
      </c>
      <c r="J47" s="1" t="s">
        <v>91</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91</v>
      </c>
      <c r="AC47" s="1" t="s">
        <v>91</v>
      </c>
      <c r="AD47" s="1">
        <v>386000000</v>
      </c>
      <c r="AE47" s="1">
        <v>468000000</v>
      </c>
      <c r="AF47" s="1">
        <v>449000000</v>
      </c>
      <c r="AG47" s="1">
        <v>464000000</v>
      </c>
      <c r="AH47" s="1">
        <v>387000000</v>
      </c>
      <c r="AI47" s="1">
        <v>331000000</v>
      </c>
      <c r="AJ47" s="1">
        <v>340000000</v>
      </c>
      <c r="AK47" s="1">
        <v>334000000</v>
      </c>
      <c r="AL47" s="1">
        <v>349000000</v>
      </c>
      <c r="AM47" s="1">
        <v>421000000</v>
      </c>
    </row>
    <row r="48" spans="1:40" ht="19" x14ac:dyDescent="0.25">
      <c r="A48" s="5" t="s">
        <v>40</v>
      </c>
      <c r="B48" s="1" t="s">
        <v>91</v>
      </c>
      <c r="C48" s="1" t="s">
        <v>91</v>
      </c>
      <c r="D48" s="1" t="s">
        <v>91</v>
      </c>
      <c r="E48" s="1" t="s">
        <v>91</v>
      </c>
      <c r="F48" s="1" t="s">
        <v>91</v>
      </c>
      <c r="G48" s="1" t="s">
        <v>91</v>
      </c>
      <c r="H48" s="1" t="s">
        <v>91</v>
      </c>
      <c r="I48" s="1" t="s">
        <v>91</v>
      </c>
      <c r="J48" s="1" t="s">
        <v>91</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91</v>
      </c>
      <c r="C50" s="1" t="s">
        <v>91</v>
      </c>
      <c r="D50" s="1" t="s">
        <v>91</v>
      </c>
      <c r="E50" s="1" t="s">
        <v>91</v>
      </c>
      <c r="F50" s="1" t="s">
        <v>91</v>
      </c>
      <c r="G50" s="1" t="s">
        <v>91</v>
      </c>
      <c r="H50" s="1" t="s">
        <v>91</v>
      </c>
      <c r="I50" s="1" t="s">
        <v>91</v>
      </c>
      <c r="J50" s="1" t="s">
        <v>91</v>
      </c>
      <c r="K50" s="1">
        <v>54000000</v>
      </c>
      <c r="L50" s="1" t="s">
        <v>91</v>
      </c>
      <c r="M50" s="1">
        <v>157000000</v>
      </c>
      <c r="N50" s="1">
        <v>240000000</v>
      </c>
      <c r="O50" s="1">
        <v>284000000</v>
      </c>
      <c r="P50" s="1">
        <v>309000000</v>
      </c>
      <c r="Q50" s="1" t="s">
        <v>91</v>
      </c>
      <c r="R50" s="1">
        <v>19000000</v>
      </c>
      <c r="S50" s="1" t="s">
        <v>91</v>
      </c>
      <c r="T50" s="1">
        <v>83700000</v>
      </c>
      <c r="U50" s="1">
        <v>41400000</v>
      </c>
      <c r="V50" s="1">
        <v>29900000</v>
      </c>
      <c r="W50" s="1">
        <v>49000000</v>
      </c>
      <c r="X50" s="1">
        <v>65000000</v>
      </c>
      <c r="Y50" s="1" t="s">
        <v>91</v>
      </c>
      <c r="Z50" s="1" t="s">
        <v>91</v>
      </c>
      <c r="AA50" s="1" t="s">
        <v>91</v>
      </c>
      <c r="AB50" s="1" t="s">
        <v>91</v>
      </c>
      <c r="AC50" s="1" t="s">
        <v>91</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91</v>
      </c>
      <c r="C51" s="1" t="s">
        <v>91</v>
      </c>
      <c r="D51" s="1" t="s">
        <v>91</v>
      </c>
      <c r="E51" s="1" t="s">
        <v>91</v>
      </c>
      <c r="F51" s="1" t="s">
        <v>91</v>
      </c>
      <c r="G51" s="1" t="s">
        <v>91</v>
      </c>
      <c r="H51" s="1" t="s">
        <v>91</v>
      </c>
      <c r="I51" s="1" t="s">
        <v>91</v>
      </c>
      <c r="J51" s="1" t="s">
        <v>91</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91</v>
      </c>
      <c r="C52" s="1" t="s">
        <v>91</v>
      </c>
      <c r="D52" s="1" t="s">
        <v>91</v>
      </c>
      <c r="E52" s="1" t="s">
        <v>91</v>
      </c>
      <c r="F52" s="1" t="s">
        <v>91</v>
      </c>
      <c r="G52" s="1" t="s">
        <v>91</v>
      </c>
      <c r="H52" s="1" t="s">
        <v>91</v>
      </c>
      <c r="I52" s="1" t="s">
        <v>91</v>
      </c>
      <c r="J52" s="1" t="s">
        <v>91</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502300000</v>
      </c>
      <c r="M55" s="1" t="s">
        <v>91</v>
      </c>
      <c r="N55" s="1" t="s">
        <v>91</v>
      </c>
      <c r="O55" s="1" t="s">
        <v>91</v>
      </c>
      <c r="P55" s="1" t="s">
        <v>91</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91</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v>26500000</v>
      </c>
      <c r="M56" s="1">
        <v>90000000</v>
      </c>
      <c r="N56" s="1">
        <v>11000000</v>
      </c>
      <c r="O56" s="1">
        <v>10000000</v>
      </c>
      <c r="P56" s="1" t="s">
        <v>91</v>
      </c>
      <c r="Q56" s="1">
        <v>47900000</v>
      </c>
      <c r="R56" s="1" t="s">
        <v>91</v>
      </c>
      <c r="S56" s="1" t="s">
        <v>91</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32000000</v>
      </c>
      <c r="AA57" s="1">
        <v>51000000</v>
      </c>
      <c r="AB57" s="1" t="s">
        <v>91</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16400000</v>
      </c>
      <c r="M58" s="1" t="s">
        <v>91</v>
      </c>
      <c r="N58" s="1" t="s">
        <v>91</v>
      </c>
      <c r="O58" s="1" t="s">
        <v>91</v>
      </c>
      <c r="P58" s="1" t="s">
        <v>91</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91</v>
      </c>
      <c r="C60" s="10" t="s">
        <v>91</v>
      </c>
      <c r="D60" s="10" t="s">
        <v>91</v>
      </c>
      <c r="E60" s="10" t="s">
        <v>91</v>
      </c>
      <c r="F60" s="10" t="s">
        <v>91</v>
      </c>
      <c r="G60" s="10" t="s">
        <v>91</v>
      </c>
      <c r="H60" s="10" t="s">
        <v>91</v>
      </c>
      <c r="I60" s="10" t="s">
        <v>91</v>
      </c>
      <c r="J60" s="10" t="s">
        <v>91</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91</v>
      </c>
      <c r="C61" s="1" t="s">
        <v>91</v>
      </c>
      <c r="D61" s="1" t="s">
        <v>91</v>
      </c>
      <c r="E61" s="1" t="s">
        <v>91</v>
      </c>
      <c r="F61" s="1" t="s">
        <v>91</v>
      </c>
      <c r="G61" s="1" t="s">
        <v>91</v>
      </c>
      <c r="H61" s="1" t="s">
        <v>91</v>
      </c>
      <c r="I61" s="1" t="s">
        <v>91</v>
      </c>
      <c r="J61" s="1" t="s">
        <v>91</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v>636000000</v>
      </c>
      <c r="AK62" s="1">
        <v>643000000</v>
      </c>
      <c r="AL62" s="1">
        <v>808000000</v>
      </c>
      <c r="AM62" s="1">
        <v>589000000</v>
      </c>
    </row>
    <row r="63" spans="1:39" ht="19" x14ac:dyDescent="0.25">
      <c r="A63" s="5" t="s">
        <v>54</v>
      </c>
      <c r="B63" s="1" t="s">
        <v>91</v>
      </c>
      <c r="C63" s="1" t="s">
        <v>91</v>
      </c>
      <c r="D63" s="1" t="s">
        <v>91</v>
      </c>
      <c r="E63" s="1" t="s">
        <v>91</v>
      </c>
      <c r="F63" s="1" t="s">
        <v>91</v>
      </c>
      <c r="G63" s="1" t="s">
        <v>91</v>
      </c>
      <c r="H63" s="1" t="s">
        <v>91</v>
      </c>
      <c r="I63" s="1" t="s">
        <v>91</v>
      </c>
      <c r="J63" s="1" t="s">
        <v>91</v>
      </c>
      <c r="K63" s="1" t="s">
        <v>91</v>
      </c>
      <c r="L63" s="1">
        <v>93300000</v>
      </c>
      <c r="M63" s="1" t="s">
        <v>91</v>
      </c>
      <c r="N63" s="1" t="s">
        <v>91</v>
      </c>
      <c r="O63" s="1" t="s">
        <v>91</v>
      </c>
      <c r="P63" s="1" t="s">
        <v>91</v>
      </c>
      <c r="Q63" s="1">
        <v>333500000</v>
      </c>
      <c r="R63" s="1" t="s">
        <v>91</v>
      </c>
      <c r="S63" s="1" t="s">
        <v>91</v>
      </c>
      <c r="T63" s="1">
        <v>41300000</v>
      </c>
      <c r="U63" s="1">
        <v>42000000</v>
      </c>
      <c r="V63" s="1">
        <v>35200000</v>
      </c>
      <c r="W63" s="1">
        <v>28000000</v>
      </c>
      <c r="X63" s="1">
        <v>25000000</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91</v>
      </c>
      <c r="C65" s="1" t="s">
        <v>91</v>
      </c>
      <c r="D65" s="1" t="s">
        <v>91</v>
      </c>
      <c r="E65" s="1" t="s">
        <v>91</v>
      </c>
      <c r="F65" s="1" t="s">
        <v>91</v>
      </c>
      <c r="G65" s="1" t="s">
        <v>91</v>
      </c>
      <c r="H65" s="1" t="s">
        <v>91</v>
      </c>
      <c r="I65" s="1" t="s">
        <v>91</v>
      </c>
      <c r="J65" s="1" t="s">
        <v>91</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91</v>
      </c>
      <c r="C68" s="1" t="s">
        <v>91</v>
      </c>
      <c r="D68" s="1" t="s">
        <v>91</v>
      </c>
      <c r="E68" s="1" t="s">
        <v>91</v>
      </c>
      <c r="F68" s="1" t="s">
        <v>91</v>
      </c>
      <c r="G68" s="1" t="s">
        <v>91</v>
      </c>
      <c r="H68" s="1" t="s">
        <v>91</v>
      </c>
      <c r="I68" s="1" t="s">
        <v>91</v>
      </c>
      <c r="J68" s="1" t="s">
        <v>91</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91</v>
      </c>
      <c r="C69" s="1" t="s">
        <v>91</v>
      </c>
      <c r="D69" s="1" t="s">
        <v>91</v>
      </c>
      <c r="E69" s="1" t="s">
        <v>91</v>
      </c>
      <c r="F69" s="1" t="s">
        <v>91</v>
      </c>
      <c r="G69" s="1" t="s">
        <v>91</v>
      </c>
      <c r="H69" s="1" t="s">
        <v>91</v>
      </c>
      <c r="I69" s="1" t="s">
        <v>91</v>
      </c>
      <c r="J69" s="1" t="s">
        <v>91</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91</v>
      </c>
      <c r="C70" s="1" t="s">
        <v>91</v>
      </c>
      <c r="D70" s="1" t="s">
        <v>91</v>
      </c>
      <c r="E70" s="1" t="s">
        <v>91</v>
      </c>
      <c r="F70" s="1" t="s">
        <v>91</v>
      </c>
      <c r="G70" s="1" t="s">
        <v>91</v>
      </c>
      <c r="H70" s="1" t="s">
        <v>91</v>
      </c>
      <c r="I70" s="1" t="s">
        <v>91</v>
      </c>
      <c r="J70" s="1" t="s">
        <v>91</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91</v>
      </c>
      <c r="C71" s="1" t="s">
        <v>91</v>
      </c>
      <c r="D71" s="1" t="s">
        <v>91</v>
      </c>
      <c r="E71" s="1" t="s">
        <v>91</v>
      </c>
      <c r="F71" s="1" t="s">
        <v>91</v>
      </c>
      <c r="G71" s="1" t="s">
        <v>91</v>
      </c>
      <c r="H71" s="1" t="s">
        <v>91</v>
      </c>
      <c r="I71" s="1" t="s">
        <v>91</v>
      </c>
      <c r="J71" s="1" t="s">
        <v>91</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91</v>
      </c>
      <c r="C72" s="10" t="s">
        <v>91</v>
      </c>
      <c r="D72" s="10" t="s">
        <v>91</v>
      </c>
      <c r="E72" s="10" t="s">
        <v>91</v>
      </c>
      <c r="F72" s="10" t="s">
        <v>91</v>
      </c>
      <c r="G72" s="10" t="s">
        <v>91</v>
      </c>
      <c r="H72" s="10" t="s">
        <v>91</v>
      </c>
      <c r="I72" s="10" t="s">
        <v>91</v>
      </c>
      <c r="J72" s="10" t="s">
        <v>91</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91</v>
      </c>
      <c r="C77" s="1" t="s">
        <v>91</v>
      </c>
      <c r="D77" s="1" t="s">
        <v>91</v>
      </c>
      <c r="E77" s="1" t="s">
        <v>91</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91</v>
      </c>
      <c r="C78" s="1" t="s">
        <v>91</v>
      </c>
      <c r="D78" s="1" t="s">
        <v>91</v>
      </c>
      <c r="E78" s="1" t="s">
        <v>91</v>
      </c>
      <c r="F78" s="1">
        <v>16200000</v>
      </c>
      <c r="G78" s="1" t="s">
        <v>91</v>
      </c>
      <c r="H78" s="1" t="s">
        <v>91</v>
      </c>
      <c r="I78" s="1">
        <v>6800000</v>
      </c>
      <c r="J78" s="1">
        <v>-5200000</v>
      </c>
      <c r="K78" s="1" t="s">
        <v>91</v>
      </c>
      <c r="L78" s="1" t="s">
        <v>91</v>
      </c>
      <c r="M78" s="1">
        <v>48100000</v>
      </c>
      <c r="N78" s="1">
        <v>93900000</v>
      </c>
      <c r="O78" s="1">
        <v>30100000</v>
      </c>
      <c r="P78" s="1" t="s">
        <v>91</v>
      </c>
      <c r="Q78" s="1" t="s">
        <v>91</v>
      </c>
      <c r="R78" s="1" t="s">
        <v>91</v>
      </c>
      <c r="S78" s="1">
        <v>11400000</v>
      </c>
      <c r="T78" s="1">
        <v>70500000</v>
      </c>
      <c r="U78" s="1">
        <v>57800000</v>
      </c>
      <c r="V78" s="1">
        <v>-9700000</v>
      </c>
      <c r="W78" s="1">
        <v>-24000000</v>
      </c>
      <c r="X78" s="1">
        <v>-11000000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t="s">
        <v>91</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t="e">
        <f t="shared" si="8"/>
        <v>#VALUE!</v>
      </c>
      <c r="AA80" s="15">
        <f t="shared" si="8"/>
        <v>1.0964395189813724E-2</v>
      </c>
      <c r="AB80" s="15">
        <f t="shared" si="8"/>
        <v>8.6481565771506595E-3</v>
      </c>
      <c r="AC80" s="15">
        <f t="shared" si="8"/>
        <v>1.056594607724071E-2</v>
      </c>
      <c r="AD80" s="15">
        <f t="shared" si="8"/>
        <v>1.0029758624490246E-2</v>
      </c>
      <c r="AE80" s="15">
        <f t="shared" si="8"/>
        <v>7.030199290866854E-3</v>
      </c>
      <c r="AF80" s="15">
        <f t="shared" si="8"/>
        <v>1.0375494071146246E-2</v>
      </c>
      <c r="AG80" s="15">
        <f t="shared" si="8"/>
        <v>1.5404468102266311E-2</v>
      </c>
      <c r="AH80" s="15">
        <f t="shared" si="8"/>
        <v>1.0579667355575239E-2</v>
      </c>
      <c r="AI80" s="15">
        <f t="shared" si="8"/>
        <v>6.5150867033003188E-3</v>
      </c>
      <c r="AJ80" s="15">
        <f t="shared" si="8"/>
        <v>1.0381953345296078E-2</v>
      </c>
      <c r="AK80" s="15">
        <f t="shared" si="8"/>
        <v>1.5302076043853511E-2</v>
      </c>
      <c r="AL80" s="15">
        <f t="shared" si="8"/>
        <v>1.3643746616134272E-2</v>
      </c>
      <c r="AM80" s="15">
        <f t="shared" si="8"/>
        <v>1.6711099551336237E-2</v>
      </c>
    </row>
    <row r="81" spans="1:47" ht="19" x14ac:dyDescent="0.25">
      <c r="A81" s="5" t="s">
        <v>69</v>
      </c>
      <c r="B81" s="1" t="s">
        <v>91</v>
      </c>
      <c r="C81" s="1" t="s">
        <v>91</v>
      </c>
      <c r="D81" s="1" t="s">
        <v>91</v>
      </c>
      <c r="E81" s="1" t="s">
        <v>91</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N83" s="47"/>
      <c r="AO83" s="47"/>
      <c r="AP83" s="47"/>
      <c r="AQ83" s="47"/>
      <c r="AR83" s="47"/>
      <c r="AS83" s="47"/>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47"/>
      <c r="AO84" s="47"/>
      <c r="AP84" s="47"/>
      <c r="AQ84" s="47"/>
      <c r="AR84" s="47"/>
      <c r="AS84" s="47"/>
      <c r="AT84" s="69" t="s">
        <v>124</v>
      </c>
      <c r="AU84" s="70"/>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-19700000</v>
      </c>
      <c r="T85" s="1" t="s">
        <v>91</v>
      </c>
      <c r="U85" s="1">
        <v>27900000</v>
      </c>
      <c r="V85" s="1">
        <v>13100000</v>
      </c>
      <c r="W85" s="1" t="s">
        <v>91</v>
      </c>
      <c r="X85" s="1" t="s">
        <v>91</v>
      </c>
      <c r="Y85" s="1" t="s">
        <v>91</v>
      </c>
      <c r="Z85" s="1">
        <v>66000000</v>
      </c>
      <c r="AA85" s="1" t="s">
        <v>91</v>
      </c>
      <c r="AB85" s="1" t="s">
        <v>91</v>
      </c>
      <c r="AC85" s="1">
        <v>-56000000</v>
      </c>
      <c r="AD85" s="1">
        <v>-137000000</v>
      </c>
      <c r="AE85" s="1">
        <v>311000000</v>
      </c>
      <c r="AF85" s="1">
        <v>152000000</v>
      </c>
      <c r="AG85" s="1">
        <v>-78000000</v>
      </c>
      <c r="AH85" s="1">
        <v>-143000000</v>
      </c>
      <c r="AI85" s="1">
        <v>-265000000</v>
      </c>
      <c r="AJ85" s="1">
        <v>150000000</v>
      </c>
      <c r="AK85" s="1">
        <v>79000000</v>
      </c>
      <c r="AL85" s="1">
        <v>-50000000</v>
      </c>
      <c r="AM85" s="1" t="s">
        <v>91</v>
      </c>
      <c r="AN85" s="47"/>
      <c r="AO85" s="47"/>
      <c r="AP85" s="47"/>
      <c r="AQ85" s="47"/>
      <c r="AR85" s="47"/>
      <c r="AS85" s="47"/>
      <c r="AT85" s="73" t="s">
        <v>125</v>
      </c>
      <c r="AU85" s="73"/>
    </row>
    <row r="86" spans="1:47" ht="20" x14ac:dyDescent="0.25">
      <c r="A86" s="5" t="s">
        <v>72</v>
      </c>
      <c r="B86" s="1" t="s">
        <v>91</v>
      </c>
      <c r="C86" s="1" t="s">
        <v>91</v>
      </c>
      <c r="D86" s="1" t="s">
        <v>91</v>
      </c>
      <c r="E86" s="1" t="s">
        <v>91</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N86" s="47"/>
      <c r="AO86" s="47"/>
      <c r="AP86" s="47"/>
      <c r="AQ86" s="47"/>
      <c r="AR86" s="47"/>
      <c r="AS86" s="47"/>
      <c r="AT86" s="27" t="s">
        <v>126</v>
      </c>
      <c r="AU86" s="48">
        <f>AM17</f>
        <v>189000000</v>
      </c>
    </row>
    <row r="87" spans="1:47" ht="20" x14ac:dyDescent="0.25">
      <c r="A87" s="6" t="s">
        <v>73</v>
      </c>
      <c r="B87" s="10" t="s">
        <v>91</v>
      </c>
      <c r="C87" s="10" t="s">
        <v>91</v>
      </c>
      <c r="D87" s="10" t="s">
        <v>91</v>
      </c>
      <c r="E87" s="10" t="s">
        <v>91</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N87" s="47"/>
      <c r="AO87" s="47"/>
      <c r="AP87" s="47"/>
      <c r="AQ87" s="47"/>
      <c r="AR87" s="47"/>
      <c r="AS87" s="47"/>
      <c r="AT87" s="27" t="s">
        <v>127</v>
      </c>
      <c r="AU87" s="48">
        <f>AM56</f>
        <v>103000000</v>
      </c>
    </row>
    <row r="88" spans="1:47" ht="20" x14ac:dyDescent="0.25">
      <c r="A88" s="5" t="s">
        <v>74</v>
      </c>
      <c r="B88" s="1" t="s">
        <v>91</v>
      </c>
      <c r="C88" s="1" t="s">
        <v>91</v>
      </c>
      <c r="D88" s="1" t="s">
        <v>91</v>
      </c>
      <c r="E88" s="1" t="s">
        <v>91</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N88" s="47"/>
      <c r="AO88" s="47"/>
      <c r="AP88" s="47"/>
      <c r="AQ88" s="47"/>
      <c r="AR88" s="47"/>
      <c r="AS88" s="47"/>
      <c r="AT88" s="27" t="s">
        <v>128</v>
      </c>
      <c r="AU88" s="48">
        <f>AM61</f>
        <v>7413000000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0.44601254480286739</v>
      </c>
      <c r="G89" s="15">
        <f t="shared" si="9"/>
        <v>0.23942394239423942</v>
      </c>
      <c r="H89" s="15">
        <f t="shared" si="9"/>
        <v>0.12223789374706159</v>
      </c>
      <c r="I89" s="15">
        <f t="shared" si="9"/>
        <v>0.10053328066363816</v>
      </c>
      <c r="J89" s="15">
        <f t="shared" si="9"/>
        <v>0.10068815646504889</v>
      </c>
      <c r="K89" s="15">
        <f t="shared" si="9"/>
        <v>0.15412010315608499</v>
      </c>
      <c r="L89" s="15">
        <f t="shared" si="9"/>
        <v>0.24723134758018084</v>
      </c>
      <c r="M89" s="15">
        <f t="shared" si="9"/>
        <v>0.39025124527888772</v>
      </c>
      <c r="N89" s="15">
        <f t="shared" si="9"/>
        <v>0.1470345612288437</v>
      </c>
      <c r="O89" s="15">
        <f t="shared" si="9"/>
        <v>0.23476875062253064</v>
      </c>
      <c r="P89" s="15">
        <f t="shared" si="9"/>
        <v>0.21357598299681191</v>
      </c>
      <c r="Q89" s="15">
        <f t="shared" si="9"/>
        <v>0.16196175183675696</v>
      </c>
      <c r="R89" s="15">
        <f t="shared" si="9"/>
        <v>0.37821082852714755</v>
      </c>
      <c r="S89" s="15">
        <f t="shared" si="9"/>
        <v>0.39100038624951716</v>
      </c>
      <c r="T89" s="15">
        <f t="shared" si="9"/>
        <v>0.26574580273671272</v>
      </c>
      <c r="U89" s="15">
        <f t="shared" si="9"/>
        <v>0.24537941056264476</v>
      </c>
      <c r="V89" s="15">
        <f t="shared" si="9"/>
        <v>0.21818777918937748</v>
      </c>
      <c r="W89" s="15">
        <f t="shared" si="9"/>
        <v>0.25891502276176026</v>
      </c>
      <c r="X89" s="15">
        <f t="shared" si="9"/>
        <v>0.63343881856540085</v>
      </c>
      <c r="Y89" s="15">
        <f t="shared" si="9"/>
        <v>0.43297380585516176</v>
      </c>
      <c r="Z89" s="15">
        <f t="shared" si="9"/>
        <v>0.1016031646887362</v>
      </c>
      <c r="AA89" s="15">
        <f t="shared" si="9"/>
        <v>7.2624381042207031E-2</v>
      </c>
      <c r="AB89" s="15">
        <f t="shared" si="9"/>
        <v>0.29016841147018663</v>
      </c>
      <c r="AC89" s="15">
        <f t="shared" si="9"/>
        <v>0.20633956764634442</v>
      </c>
      <c r="AD89" s="15">
        <f t="shared" si="9"/>
        <v>0.1371101069106139</v>
      </c>
      <c r="AE89" s="15">
        <f t="shared" si="9"/>
        <v>0.16248930187064434</v>
      </c>
      <c r="AF89" s="15">
        <f t="shared" si="9"/>
        <v>0.24833250988142291</v>
      </c>
      <c r="AG89" s="15">
        <f t="shared" si="9"/>
        <v>0.46915073796273893</v>
      </c>
      <c r="AH89" s="15">
        <f t="shared" si="9"/>
        <v>0.2329495128432241</v>
      </c>
      <c r="AI89" s="15">
        <f t="shared" si="9"/>
        <v>0.29215886282122999</v>
      </c>
      <c r="AJ89" s="15">
        <f t="shared" si="9"/>
        <v>0.41784157908228658</v>
      </c>
      <c r="AK89" s="15">
        <f t="shared" si="9"/>
        <v>0.38362491252624215</v>
      </c>
      <c r="AL89" s="15">
        <f t="shared" si="9"/>
        <v>0.36202851470853636</v>
      </c>
      <c r="AM89" s="15">
        <f t="shared" si="9"/>
        <v>0.39232069705442485</v>
      </c>
      <c r="AN89" s="47"/>
      <c r="AO89" s="47"/>
      <c r="AP89" s="47"/>
      <c r="AQ89" s="47"/>
      <c r="AR89" s="47"/>
      <c r="AS89" s="47"/>
      <c r="AT89" s="28" t="s">
        <v>129</v>
      </c>
      <c r="AU89" s="49">
        <f>AU86/(AU87+AU88)</f>
        <v>2.5146354443853113E-2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416000000</v>
      </c>
      <c r="X90" s="1">
        <v>-73000000</v>
      </c>
      <c r="Y90" s="1" t="s">
        <v>91</v>
      </c>
      <c r="Z90" s="1" t="s">
        <v>91</v>
      </c>
      <c r="AA90" s="1">
        <v>518000000</v>
      </c>
      <c r="AB90" s="1">
        <v>-159000000</v>
      </c>
      <c r="AC90" s="1" t="s">
        <v>91</v>
      </c>
      <c r="AD90" s="1">
        <v>69000000</v>
      </c>
      <c r="AE90" s="1">
        <v>105000000</v>
      </c>
      <c r="AF90" s="1">
        <v>1000000</v>
      </c>
      <c r="AG90" s="1">
        <v>6000000</v>
      </c>
      <c r="AH90" s="1">
        <v>-2634000000</v>
      </c>
      <c r="AI90" s="1" t="s">
        <v>91</v>
      </c>
      <c r="AJ90" s="1" t="s">
        <v>91</v>
      </c>
      <c r="AK90" s="1" t="s">
        <v>91</v>
      </c>
      <c r="AL90" s="1" t="s">
        <v>91</v>
      </c>
      <c r="AM90" s="1">
        <v>888000000</v>
      </c>
      <c r="AN90" s="47"/>
      <c r="AO90" s="47"/>
      <c r="AP90" s="47"/>
      <c r="AQ90" s="47"/>
      <c r="AR90" s="47"/>
      <c r="AS90" s="47"/>
      <c r="AT90" s="27" t="s">
        <v>105</v>
      </c>
      <c r="AU90" s="48">
        <f>AM27</f>
        <v>888000000</v>
      </c>
    </row>
    <row r="91" spans="1:47" ht="20" x14ac:dyDescent="0.25">
      <c r="A91" s="5" t="s">
        <v>76</v>
      </c>
      <c r="B91" s="1" t="s">
        <v>91</v>
      </c>
      <c r="C91" s="1" t="s">
        <v>91</v>
      </c>
      <c r="D91" s="1" t="s">
        <v>91</v>
      </c>
      <c r="E91" s="1" t="s">
        <v>91</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N91" s="47"/>
      <c r="AO91" s="47"/>
      <c r="AP91" s="47"/>
      <c r="AQ91" s="47"/>
      <c r="AR91" s="47"/>
      <c r="AS91" s="47"/>
      <c r="AT91" s="27" t="s">
        <v>19</v>
      </c>
      <c r="AU91" s="48">
        <f>AM25</f>
        <v>9571000000</v>
      </c>
    </row>
    <row r="92" spans="1:47" ht="20" x14ac:dyDescent="0.25">
      <c r="A92" s="5" t="s">
        <v>77</v>
      </c>
      <c r="B92" s="1" t="s">
        <v>91</v>
      </c>
      <c r="C92" s="1" t="s">
        <v>91</v>
      </c>
      <c r="D92" s="1" t="s">
        <v>91</v>
      </c>
      <c r="E92" s="1" t="s">
        <v>91</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91</v>
      </c>
      <c r="AB92" s="1" t="s">
        <v>91</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N92" s="47"/>
      <c r="AO92" s="47"/>
      <c r="AP92" s="47"/>
      <c r="AQ92" s="47"/>
      <c r="AR92" s="47"/>
      <c r="AS92" s="47"/>
      <c r="AT92" s="28" t="s">
        <v>130</v>
      </c>
      <c r="AU92" s="49">
        <f>AU90/AU91</f>
        <v>9.2780273743600455E-2</v>
      </c>
    </row>
    <row r="93" spans="1:47" ht="19" customHeight="1" x14ac:dyDescent="0.25">
      <c r="A93" s="5" t="s">
        <v>78</v>
      </c>
      <c r="B93" s="1" t="s">
        <v>91</v>
      </c>
      <c r="C93" s="1" t="s">
        <v>91</v>
      </c>
      <c r="D93" s="1" t="s">
        <v>91</v>
      </c>
      <c r="E93" s="1" t="s">
        <v>91</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N93" s="47"/>
      <c r="AO93" s="47"/>
      <c r="AP93" s="47"/>
      <c r="AQ93" s="47"/>
      <c r="AR93" s="47"/>
      <c r="AS93" s="47"/>
      <c r="AT93" s="28" t="s">
        <v>131</v>
      </c>
      <c r="AU93" s="49">
        <f>AU89*(1-AU92)</f>
        <v>2.2813268794898818E-2</v>
      </c>
    </row>
    <row r="94" spans="1:47" ht="19" customHeight="1" x14ac:dyDescent="0.25">
      <c r="A94" s="6" t="s">
        <v>79</v>
      </c>
      <c r="B94" s="10" t="s">
        <v>91</v>
      </c>
      <c r="C94" s="10" t="s">
        <v>91</v>
      </c>
      <c r="D94" s="10" t="s">
        <v>91</v>
      </c>
      <c r="E94" s="10" t="s">
        <v>91</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N94" s="47"/>
      <c r="AO94" s="47"/>
      <c r="AP94" s="47"/>
      <c r="AQ94" s="47"/>
      <c r="AR94" s="47"/>
      <c r="AS94" s="47"/>
      <c r="AT94" s="73" t="s">
        <v>132</v>
      </c>
      <c r="AU94" s="73"/>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N95" s="47"/>
      <c r="AO95" s="47"/>
      <c r="AP95" s="47"/>
      <c r="AQ95" s="47"/>
      <c r="AR95" s="47"/>
      <c r="AS95" s="47"/>
      <c r="AT95" s="27" t="s">
        <v>133</v>
      </c>
      <c r="AU95" s="50">
        <f>[1]Treasuries!$C$8</f>
        <v>4.7160000000000001E-2</v>
      </c>
    </row>
    <row r="96" spans="1:47" ht="20" x14ac:dyDescent="0.25">
      <c r="A96" s="5" t="s">
        <v>81</v>
      </c>
      <c r="B96" s="1" t="s">
        <v>91</v>
      </c>
      <c r="C96" s="1" t="s">
        <v>91</v>
      </c>
      <c r="D96" s="1" t="s">
        <v>91</v>
      </c>
      <c r="E96" s="1" t="s">
        <v>91</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91</v>
      </c>
      <c r="AD96" s="1" t="s">
        <v>91</v>
      </c>
      <c r="AE96" s="1" t="s">
        <v>91</v>
      </c>
      <c r="AF96" s="1" t="s">
        <v>91</v>
      </c>
      <c r="AG96" s="1" t="s">
        <v>91</v>
      </c>
      <c r="AH96" s="1" t="s">
        <v>91</v>
      </c>
      <c r="AI96" s="1" t="s">
        <v>91</v>
      </c>
      <c r="AJ96" s="1" t="s">
        <v>91</v>
      </c>
      <c r="AK96" s="1" t="s">
        <v>91</v>
      </c>
      <c r="AL96" s="1" t="s">
        <v>91</v>
      </c>
      <c r="AM96" s="1" t="s">
        <v>91</v>
      </c>
      <c r="AN96" s="47"/>
      <c r="AO96" s="47"/>
      <c r="AP96" s="47"/>
      <c r="AQ96" s="47"/>
      <c r="AR96" s="47"/>
      <c r="AS96" s="47"/>
      <c r="AT96" s="27" t="s">
        <v>134</v>
      </c>
      <c r="AU96" s="51" cm="1">
        <f t="array" ref="AU96">_FV(A1,"Beta")</f>
        <v>1.3052999999999999</v>
      </c>
    </row>
    <row r="97" spans="1:47" ht="20" x14ac:dyDescent="0.25">
      <c r="A97" s="5" t="s">
        <v>82</v>
      </c>
      <c r="B97" s="1" t="s">
        <v>91</v>
      </c>
      <c r="C97" s="1" t="s">
        <v>91</v>
      </c>
      <c r="D97" s="1" t="s">
        <v>91</v>
      </c>
      <c r="E97" s="1" t="s">
        <v>91</v>
      </c>
      <c r="F97" s="1" t="s">
        <v>91</v>
      </c>
      <c r="G97" s="1" t="s">
        <v>91</v>
      </c>
      <c r="H97" s="1" t="s">
        <v>91</v>
      </c>
      <c r="I97" s="1">
        <v>-2000000</v>
      </c>
      <c r="J97" s="1" t="s">
        <v>91</v>
      </c>
      <c r="K97" s="1" t="s">
        <v>91</v>
      </c>
      <c r="L97" s="1" t="s">
        <v>91</v>
      </c>
      <c r="M97" s="1" t="s">
        <v>91</v>
      </c>
      <c r="N97" s="1" t="s">
        <v>91</v>
      </c>
      <c r="O97" s="1" t="s">
        <v>91</v>
      </c>
      <c r="P97" s="1" t="s">
        <v>91</v>
      </c>
      <c r="Q97" s="1" t="s">
        <v>91</v>
      </c>
      <c r="R97" s="1" t="s">
        <v>91</v>
      </c>
      <c r="S97" s="1" t="s">
        <v>91</v>
      </c>
      <c r="T97" s="1" t="s">
        <v>91</v>
      </c>
      <c r="U97" s="1">
        <v>-67500000</v>
      </c>
      <c r="V97" s="1" t="s">
        <v>91</v>
      </c>
      <c r="W97" s="1" t="s">
        <v>91</v>
      </c>
      <c r="X97" s="1" t="s">
        <v>91</v>
      </c>
      <c r="Y97" s="1" t="s">
        <v>91</v>
      </c>
      <c r="Z97" s="1" t="s">
        <v>91</v>
      </c>
      <c r="AA97" s="1" t="s">
        <v>91</v>
      </c>
      <c r="AB97" s="1">
        <v>-163000000</v>
      </c>
      <c r="AC97" s="1">
        <v>-6000000</v>
      </c>
      <c r="AD97" s="1">
        <v>-5000000</v>
      </c>
      <c r="AE97" s="1">
        <v>-76000000</v>
      </c>
      <c r="AF97" s="1">
        <v>-884000000</v>
      </c>
      <c r="AG97" s="1">
        <v>-148000000</v>
      </c>
      <c r="AH97" s="1">
        <v>-35000000</v>
      </c>
      <c r="AI97" s="1" t="s">
        <v>91</v>
      </c>
      <c r="AJ97" s="1">
        <v>-2729000000</v>
      </c>
      <c r="AK97" s="1">
        <v>-251000000</v>
      </c>
      <c r="AL97" s="1">
        <v>-1294000000</v>
      </c>
      <c r="AM97" s="1">
        <v>-2432000000</v>
      </c>
      <c r="AN97" s="47"/>
      <c r="AO97" s="47"/>
      <c r="AP97" s="47"/>
      <c r="AQ97" s="47"/>
      <c r="AR97" s="47"/>
      <c r="AS97" s="47"/>
      <c r="AT97" s="27" t="s">
        <v>135</v>
      </c>
      <c r="AU97" s="50">
        <v>8.4000000000000005E-2</v>
      </c>
    </row>
    <row r="98" spans="1:47" ht="19" customHeight="1" x14ac:dyDescent="0.25">
      <c r="A98" s="5" t="s">
        <v>83</v>
      </c>
      <c r="B98" s="1" t="s">
        <v>91</v>
      </c>
      <c r="C98" s="1" t="s">
        <v>91</v>
      </c>
      <c r="D98" s="1" t="s">
        <v>91</v>
      </c>
      <c r="E98" s="1" t="s">
        <v>91</v>
      </c>
      <c r="F98" s="1" t="s">
        <v>91</v>
      </c>
      <c r="G98" s="1" t="s">
        <v>91</v>
      </c>
      <c r="H98" s="1" t="s">
        <v>91</v>
      </c>
      <c r="I98" s="1">
        <v>-1900000</v>
      </c>
      <c r="J98" s="1" t="s">
        <v>91</v>
      </c>
      <c r="K98" s="1">
        <v>-12200000</v>
      </c>
      <c r="L98" s="1">
        <v>-30800000</v>
      </c>
      <c r="M98" s="1">
        <v>-31200000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-461000000</v>
      </c>
      <c r="AN98" s="47"/>
      <c r="AO98" s="47"/>
      <c r="AP98" s="47"/>
      <c r="AQ98" s="47"/>
      <c r="AR98" s="47"/>
      <c r="AS98" s="47"/>
      <c r="AT98" s="28" t="s">
        <v>136</v>
      </c>
      <c r="AU98" s="49">
        <f>(AU95)+((AU96)*(AU97-AU95))</f>
        <v>9.5247252000000004E-2</v>
      </c>
    </row>
    <row r="99" spans="1:47" ht="20" customHeight="1" x14ac:dyDescent="0.25">
      <c r="A99" s="5" t="s">
        <v>84</v>
      </c>
      <c r="B99" s="1" t="s">
        <v>91</v>
      </c>
      <c r="C99" s="1" t="s">
        <v>91</v>
      </c>
      <c r="D99" s="1" t="s">
        <v>91</v>
      </c>
      <c r="E99" s="1" t="s">
        <v>91</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N99" s="47"/>
      <c r="AO99" s="47"/>
      <c r="AP99" s="47"/>
      <c r="AQ99" s="47"/>
      <c r="AR99" s="47"/>
      <c r="AS99" s="47"/>
      <c r="AT99" s="73" t="s">
        <v>137</v>
      </c>
      <c r="AU99" s="73"/>
    </row>
    <row r="100" spans="1:47" ht="20" x14ac:dyDescent="0.25">
      <c r="A100" s="6" t="s">
        <v>85</v>
      </c>
      <c r="B100" s="10" t="s">
        <v>91</v>
      </c>
      <c r="C100" s="10" t="s">
        <v>91</v>
      </c>
      <c r="D100" s="10" t="s">
        <v>91</v>
      </c>
      <c r="E100" s="10" t="s">
        <v>91</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N100" s="47"/>
      <c r="AO100" s="47"/>
      <c r="AP100" s="47"/>
      <c r="AQ100" s="47"/>
      <c r="AR100" s="47"/>
      <c r="AS100" s="47"/>
      <c r="AT100" s="27" t="s">
        <v>138</v>
      </c>
      <c r="AU100" s="48">
        <f>AU87+AU88</f>
        <v>7516000000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v>-28000000</v>
      </c>
      <c r="AF101" s="1">
        <v>-121000000</v>
      </c>
      <c r="AG101" s="1">
        <v>8000000</v>
      </c>
      <c r="AH101" s="1">
        <v>-12000000</v>
      </c>
      <c r="AI101" s="1">
        <v>-37000000</v>
      </c>
      <c r="AJ101" s="1">
        <v>26000000</v>
      </c>
      <c r="AK101" s="1">
        <v>11000000</v>
      </c>
      <c r="AL101" s="1">
        <v>41000000</v>
      </c>
      <c r="AM101" s="1">
        <v>-106000000</v>
      </c>
      <c r="AN101" s="47"/>
      <c r="AO101" s="47"/>
      <c r="AP101" s="47"/>
      <c r="AQ101" s="47"/>
      <c r="AR101" s="47"/>
      <c r="AS101" s="47"/>
      <c r="AT101" s="28" t="s">
        <v>139</v>
      </c>
      <c r="AU101" s="49">
        <f>AU100/AU104</f>
        <v>8.9323808312723657E-2</v>
      </c>
    </row>
    <row r="102" spans="1:47" ht="20" x14ac:dyDescent="0.25">
      <c r="A102" s="6" t="s">
        <v>87</v>
      </c>
      <c r="B102" s="10" t="s">
        <v>91</v>
      </c>
      <c r="C102" s="10" t="s">
        <v>91</v>
      </c>
      <c r="D102" s="10" t="s">
        <v>91</v>
      </c>
      <c r="E102" s="10" t="s">
        <v>91</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N102" s="47"/>
      <c r="AO102" s="47"/>
      <c r="AP102" s="47"/>
      <c r="AQ102" s="47"/>
      <c r="AR102" s="47"/>
      <c r="AS102" s="47"/>
      <c r="AT102" s="27" t="s">
        <v>140</v>
      </c>
      <c r="AU102" s="52" cm="1">
        <f t="array" ref="AU102">_FV(A1,"Market cap",TRUE)</f>
        <v>76627300000</v>
      </c>
    </row>
    <row r="103" spans="1:47" ht="20" x14ac:dyDescent="0.25">
      <c r="A103" s="5" t="s">
        <v>88</v>
      </c>
      <c r="B103" s="1" t="s">
        <v>91</v>
      </c>
      <c r="C103" s="1" t="s">
        <v>91</v>
      </c>
      <c r="D103" s="1" t="s">
        <v>91</v>
      </c>
      <c r="E103" s="1" t="s">
        <v>91</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N103" s="47"/>
      <c r="AO103" s="47"/>
      <c r="AP103" s="47"/>
      <c r="AQ103" s="47"/>
      <c r="AR103" s="47"/>
      <c r="AS103" s="47"/>
      <c r="AT103" s="28" t="s">
        <v>141</v>
      </c>
      <c r="AU103" s="49">
        <f>AU102/AU104</f>
        <v>0.91067619168727632</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N104" s="71" t="s">
        <v>160</v>
      </c>
      <c r="AO104" s="71"/>
      <c r="AP104" s="71"/>
      <c r="AQ104" s="71"/>
      <c r="AR104" s="71"/>
      <c r="AS104" s="47"/>
      <c r="AT104" s="28" t="s">
        <v>142</v>
      </c>
      <c r="AU104" s="53">
        <f>AU100+AU102</f>
        <v>84143300000</v>
      </c>
    </row>
    <row r="105" spans="1:47" ht="21" customHeight="1" thickTop="1" x14ac:dyDescent="0.25">
      <c r="A105" s="14" t="s">
        <v>157</v>
      </c>
      <c r="B105" s="1" t="e">
        <f t="shared" ref="B105:AM105" si="10">(B22*(1-$AU$92))+B77+B88+B81</f>
        <v>#VALUE!</v>
      </c>
      <c r="C105" s="1" t="e">
        <f t="shared" si="10"/>
        <v>#VALUE!</v>
      </c>
      <c r="D105" s="1" t="e">
        <f t="shared" si="10"/>
        <v>#VALUE!</v>
      </c>
      <c r="E105" s="1" t="e">
        <f t="shared" si="10"/>
        <v>#VALUE!</v>
      </c>
      <c r="F105" s="1">
        <f t="shared" si="10"/>
        <v>-59154153.171037495</v>
      </c>
      <c r="G105" s="1">
        <f t="shared" si="10"/>
        <v>12247434.959774315</v>
      </c>
      <c r="H105" s="1">
        <f t="shared" si="10"/>
        <v>37005192.769825518</v>
      </c>
      <c r="I105" s="1">
        <f t="shared" si="10"/>
        <v>53328910.249712676</v>
      </c>
      <c r="J105" s="1">
        <f t="shared" si="10"/>
        <v>231998474.55856234</v>
      </c>
      <c r="K105" s="1">
        <f t="shared" si="10"/>
        <v>439066952.25159335</v>
      </c>
      <c r="L105" s="1">
        <f t="shared" si="10"/>
        <v>620710375.09142208</v>
      </c>
      <c r="M105" s="1">
        <f t="shared" si="10"/>
        <v>-199530968.5508306</v>
      </c>
      <c r="N105" s="1">
        <f t="shared" si="10"/>
        <v>138865217.84557521</v>
      </c>
      <c r="O105" s="1">
        <f t="shared" si="10"/>
        <v>-601003656.8801589</v>
      </c>
      <c r="P105" s="1">
        <f t="shared" si="10"/>
        <v>-2539327.1340507269</v>
      </c>
      <c r="Q105" s="1">
        <f t="shared" si="10"/>
        <v>1265526998.2238011</v>
      </c>
      <c r="R105" s="1">
        <f t="shared" si="10"/>
        <v>-2025900062.6893742</v>
      </c>
      <c r="S105" s="1">
        <f t="shared" si="10"/>
        <v>-884772385.33068645</v>
      </c>
      <c r="T105" s="1">
        <f t="shared" si="10"/>
        <v>-851016205.20321798</v>
      </c>
      <c r="U105" s="1">
        <f t="shared" si="10"/>
        <v>129932765.64622307</v>
      </c>
      <c r="V105" s="1">
        <f t="shared" si="10"/>
        <v>205520290.46076679</v>
      </c>
      <c r="W105" s="1">
        <f t="shared" si="10"/>
        <v>538526904.1897397</v>
      </c>
      <c r="X105" s="1">
        <f t="shared" si="10"/>
        <v>-2730021523.3517919</v>
      </c>
      <c r="Y105" s="1">
        <f t="shared" si="10"/>
        <v>-2112015463.3789573</v>
      </c>
      <c r="Z105" s="1">
        <f t="shared" si="10"/>
        <v>26406958.520530701</v>
      </c>
      <c r="AA105" s="1">
        <f t="shared" si="10"/>
        <v>2331572145.0214186</v>
      </c>
      <c r="AB105" s="1">
        <f t="shared" si="10"/>
        <v>101950893.3235817</v>
      </c>
      <c r="AC105" s="1">
        <f t="shared" si="10"/>
        <v>495338209.17354512</v>
      </c>
      <c r="AD105" s="1">
        <f t="shared" si="10"/>
        <v>454103855.39651036</v>
      </c>
      <c r="AE105" s="1">
        <f t="shared" si="10"/>
        <v>2903587294.9535055</v>
      </c>
      <c r="AF105" s="1">
        <f t="shared" si="10"/>
        <v>1335844739.3166866</v>
      </c>
      <c r="AG105" s="1">
        <f t="shared" si="10"/>
        <v>-2574587085.988925</v>
      </c>
      <c r="AH105" s="1">
        <f t="shared" si="10"/>
        <v>3270565353.672554</v>
      </c>
      <c r="AI105" s="1">
        <f t="shared" si="10"/>
        <v>7560852575.4884567</v>
      </c>
      <c r="AJ105" s="1">
        <f t="shared" si="10"/>
        <v>3214652700.8672028</v>
      </c>
      <c r="AK105" s="1">
        <f t="shared" si="10"/>
        <v>-256619162.05203247</v>
      </c>
      <c r="AL105" s="1">
        <f t="shared" si="10"/>
        <v>1464061540.0689583</v>
      </c>
      <c r="AM105" s="1">
        <f t="shared" si="10"/>
        <v>2605845784.1395893</v>
      </c>
      <c r="AN105" s="54">
        <f>AM105*(1+$AU$107)</f>
        <v>2818031922.1909041</v>
      </c>
      <c r="AO105" s="54">
        <f>AN105*(1+$AU$107)</f>
        <v>3047495735.4811616</v>
      </c>
      <c r="AP105" s="54">
        <f>AO105*(1+$AU$107)</f>
        <v>3295644092.8303699</v>
      </c>
      <c r="AQ105" s="54">
        <f>AP105*(1+$AU$107)</f>
        <v>3563998420.1299801</v>
      </c>
      <c r="AR105" s="54">
        <f>AQ105*(1+$AU$107)</f>
        <v>3854204028.3786139</v>
      </c>
      <c r="AS105" s="46" t="s">
        <v>165</v>
      </c>
      <c r="AT105" s="73" t="s">
        <v>143</v>
      </c>
      <c r="AU105" s="73"/>
    </row>
    <row r="106" spans="1:47" ht="20" x14ac:dyDescent="0.25">
      <c r="A106" s="14" t="s">
        <v>158</v>
      </c>
      <c r="B106" s="1"/>
      <c r="C106" s="15" t="e">
        <f t="shared" ref="C106:AM106" si="11">(C107/B107)-1</f>
        <v>#VALUE!</v>
      </c>
      <c r="D106" s="15" t="e">
        <f t="shared" si="11"/>
        <v>#VALUE!</v>
      </c>
      <c r="E106" s="15" t="e">
        <f t="shared" si="11"/>
        <v>#VALUE!</v>
      </c>
      <c r="F106" s="15" t="e">
        <f t="shared" si="11"/>
        <v>#VALUE!</v>
      </c>
      <c r="G106" s="15">
        <f t="shared" si="11"/>
        <v>-1.1557377049180328</v>
      </c>
      <c r="H106" s="15">
        <f t="shared" si="11"/>
        <v>2.0175438596491229</v>
      </c>
      <c r="I106" s="15">
        <f t="shared" si="11"/>
        <v>0.66860465116279078</v>
      </c>
      <c r="J106" s="15">
        <f t="shared" si="11"/>
        <v>2.029616724738676</v>
      </c>
      <c r="K106" s="15">
        <f t="shared" si="11"/>
        <v>0.762507188039103</v>
      </c>
      <c r="L106" s="15">
        <f t="shared" si="11"/>
        <v>7.5040783034256986E-3</v>
      </c>
      <c r="M106" s="15">
        <f t="shared" si="11"/>
        <v>-2.1832901554404147</v>
      </c>
      <c r="N106" s="15">
        <f t="shared" si="11"/>
        <v>-1.2372742200328406</v>
      </c>
      <c r="O106" s="15">
        <f t="shared" si="11"/>
        <v>-6.973471741637832</v>
      </c>
      <c r="P106" s="15">
        <f t="shared" si="11"/>
        <v>-1.0849584861942461</v>
      </c>
      <c r="Q106" s="15">
        <f t="shared" si="11"/>
        <v>19.002272727272729</v>
      </c>
      <c r="R106" s="15">
        <f t="shared" si="11"/>
        <v>-1.7947960459038745</v>
      </c>
      <c r="S106" s="15">
        <f t="shared" si="11"/>
        <v>-0.37927090779127948</v>
      </c>
      <c r="T106" s="15">
        <f t="shared" si="11"/>
        <v>0.23744818056195305</v>
      </c>
      <c r="U106" s="15">
        <f t="shared" si="11"/>
        <v>-1.1453564116880699</v>
      </c>
      <c r="V106" s="15">
        <f t="shared" si="11"/>
        <v>1.2151088348271446</v>
      </c>
      <c r="W106" s="15">
        <f t="shared" si="11"/>
        <v>2.7803468208092488</v>
      </c>
      <c r="X106" s="15">
        <f t="shared" si="11"/>
        <v>-5.0764525993883796</v>
      </c>
      <c r="Y106" s="15">
        <f t="shared" si="11"/>
        <v>-0.43323330832708173</v>
      </c>
      <c r="Z106" s="15">
        <f t="shared" si="11"/>
        <v>-1.4751819986763732</v>
      </c>
      <c r="AA106" s="15">
        <f t="shared" si="11"/>
        <v>2.4540389972144845</v>
      </c>
      <c r="AB106" s="15">
        <f t="shared" si="11"/>
        <v>-1.0266129032258065</v>
      </c>
      <c r="AC106" s="15">
        <f t="shared" si="11"/>
        <v>-7.2878787878787881</v>
      </c>
      <c r="AD106" s="15">
        <f t="shared" si="11"/>
        <v>0.36626506024096384</v>
      </c>
      <c r="AE106" s="15">
        <f t="shared" si="11"/>
        <v>4.3633156966490301</v>
      </c>
      <c r="AF106" s="15">
        <f t="shared" si="11"/>
        <v>-0.60966787241039133</v>
      </c>
      <c r="AG106" s="15">
        <f t="shared" si="11"/>
        <v>-3.2316764953664703</v>
      </c>
      <c r="AH106" s="15">
        <f t="shared" si="11"/>
        <v>-2.290675726689317</v>
      </c>
      <c r="AI106" s="15">
        <f t="shared" si="11"/>
        <v>1.4922491956712487</v>
      </c>
      <c r="AJ106" s="15">
        <f t="shared" si="11"/>
        <v>-0.59992958572937449</v>
      </c>
      <c r="AK106" s="15">
        <f t="shared" si="11"/>
        <v>-0.97565268407157524</v>
      </c>
      <c r="AL106" s="15">
        <f t="shared" si="11"/>
        <v>28.373493975903614</v>
      </c>
      <c r="AM106" s="15">
        <f t="shared" si="11"/>
        <v>0.27727645611156682</v>
      </c>
      <c r="AN106" s="56">
        <f>(AN107/AM107)-1</f>
        <v>-3.21868978805395</v>
      </c>
      <c r="AO106" s="56">
        <f>(AO107/AN107)-1</f>
        <v>-0.55362570560138957</v>
      </c>
      <c r="AP106" s="56">
        <f t="shared" ref="AP106:AR106" si="12">(AP107/AO107)-1</f>
        <v>-1.5405317769130997</v>
      </c>
      <c r="AQ106" s="56">
        <f t="shared" si="12"/>
        <v>1.9508098380323937</v>
      </c>
      <c r="AR106" s="56">
        <f t="shared" si="12"/>
        <v>-0.27932506607033947</v>
      </c>
      <c r="AS106" s="57">
        <f>SUM(AN106:AR106)/5</f>
        <v>-0.72827249972127706</v>
      </c>
      <c r="AT106" s="29" t="s">
        <v>106</v>
      </c>
      <c r="AU106" s="55">
        <f>(AU101*AU93)+(AU103*AU98)</f>
        <v>8.8777172768860491E-2</v>
      </c>
    </row>
    <row r="107" spans="1:47" ht="19" x14ac:dyDescent="0.25">
      <c r="A107" s="32" t="s">
        <v>159</v>
      </c>
      <c r="B107" s="1" t="s">
        <v>91</v>
      </c>
      <c r="C107" s="1" t="s">
        <v>91</v>
      </c>
      <c r="D107" s="1" t="s">
        <v>91</v>
      </c>
      <c r="E107" s="1" t="s">
        <v>91</v>
      </c>
      <c r="F107" s="1">
        <v>-73200000</v>
      </c>
      <c r="G107" s="1">
        <v>11400000</v>
      </c>
      <c r="H107" s="1">
        <v>34400000</v>
      </c>
      <c r="I107" s="1">
        <v>57400000</v>
      </c>
      <c r="J107" s="1">
        <v>173900000</v>
      </c>
      <c r="K107" s="1">
        <v>306500000</v>
      </c>
      <c r="L107" s="1">
        <v>308800000</v>
      </c>
      <c r="M107" s="1">
        <v>-365400000</v>
      </c>
      <c r="N107" s="1">
        <v>86700000</v>
      </c>
      <c r="O107" s="1">
        <v>-517900000</v>
      </c>
      <c r="P107" s="1">
        <v>44000000</v>
      </c>
      <c r="Q107" s="1">
        <v>880100000</v>
      </c>
      <c r="R107" s="1">
        <v>-699500000</v>
      </c>
      <c r="S107" s="1">
        <v>-434200000</v>
      </c>
      <c r="T107" s="1">
        <v>-537300000</v>
      </c>
      <c r="U107" s="1">
        <v>78100000</v>
      </c>
      <c r="V107" s="1">
        <v>173000000</v>
      </c>
      <c r="W107" s="1">
        <v>654000000</v>
      </c>
      <c r="X107" s="1">
        <v>-2666000000</v>
      </c>
      <c r="Y107" s="1">
        <v>-1511000000</v>
      </c>
      <c r="Z107" s="1">
        <v>718000000</v>
      </c>
      <c r="AA107" s="1">
        <v>2480000000</v>
      </c>
      <c r="AB107" s="1">
        <v>-66000000</v>
      </c>
      <c r="AC107" s="1">
        <v>415000000</v>
      </c>
      <c r="AD107" s="1">
        <v>567000000</v>
      </c>
      <c r="AE107" s="1">
        <v>3041000000</v>
      </c>
      <c r="AF107" s="1">
        <v>1187000000</v>
      </c>
      <c r="AG107" s="1">
        <v>-2649000000</v>
      </c>
      <c r="AH107" s="1">
        <v>3419000000</v>
      </c>
      <c r="AI107" s="1">
        <v>8521000000</v>
      </c>
      <c r="AJ107" s="1">
        <v>3409000000</v>
      </c>
      <c r="AK107" s="1">
        <v>83000000</v>
      </c>
      <c r="AL107" s="1">
        <v>2438000000</v>
      </c>
      <c r="AM107" s="1">
        <v>3114000000</v>
      </c>
      <c r="AN107" s="45">
        <v>-6909000000</v>
      </c>
      <c r="AO107" s="45">
        <v>-3084000000</v>
      </c>
      <c r="AP107" s="45">
        <v>1667000000</v>
      </c>
      <c r="AQ107" s="45">
        <v>4919000000</v>
      </c>
      <c r="AR107" s="45">
        <v>3545000000</v>
      </c>
      <c r="AS107" s="46" t="s">
        <v>169</v>
      </c>
      <c r="AT107" s="58" t="s">
        <v>144</v>
      </c>
      <c r="AU107" s="30">
        <f>(SUM(AN4:AR4)/5)</f>
        <v>8.1426974436775976E-2</v>
      </c>
    </row>
    <row r="108" spans="1:47" ht="19" x14ac:dyDescent="0.2">
      <c r="AN108" s="46"/>
      <c r="AO108" s="46"/>
      <c r="AP108" s="46"/>
      <c r="AQ108" s="46"/>
      <c r="AR108" s="60">
        <f>AR107*(1+AU108)/(AU109-AU108)</f>
        <v>56973754750.291061</v>
      </c>
      <c r="AS108" s="61" t="s">
        <v>145</v>
      </c>
      <c r="AT108" s="59" t="s">
        <v>146</v>
      </c>
      <c r="AU108" s="31">
        <v>2.5000000000000001E-2</v>
      </c>
    </row>
    <row r="109" spans="1:47" ht="19" x14ac:dyDescent="0.2">
      <c r="AN109" s="60">
        <f t="shared" ref="AN109:AQ109" si="13">AN108+AN107</f>
        <v>-6909000000</v>
      </c>
      <c r="AO109" s="60">
        <f t="shared" si="13"/>
        <v>-3084000000</v>
      </c>
      <c r="AP109" s="60">
        <f t="shared" si="13"/>
        <v>1667000000</v>
      </c>
      <c r="AQ109" s="60">
        <f t="shared" si="13"/>
        <v>4919000000</v>
      </c>
      <c r="AR109" s="60">
        <f>AR108+AR107</f>
        <v>60518754750.291061</v>
      </c>
      <c r="AS109" s="61" t="s">
        <v>142</v>
      </c>
      <c r="AT109" s="62" t="s">
        <v>147</v>
      </c>
      <c r="AU109" s="30">
        <f>AU106</f>
        <v>8.8777172768860491E-2</v>
      </c>
    </row>
    <row r="110" spans="1:47" ht="19" x14ac:dyDescent="0.2">
      <c r="AN110" s="72" t="s">
        <v>148</v>
      </c>
      <c r="AO110" s="72"/>
      <c r="AP110" s="47"/>
      <c r="AQ110" s="47"/>
      <c r="AR110" s="47"/>
      <c r="AS110" s="47"/>
      <c r="AT110" s="47"/>
      <c r="AU110" s="47"/>
    </row>
    <row r="111" spans="1:47" ht="20" x14ac:dyDescent="0.2">
      <c r="AN111" s="63" t="s">
        <v>149</v>
      </c>
      <c r="AO111" s="52">
        <f>NPV(AU109,AN109,AO109,AP109,AQ109,AR109)</f>
        <v>35399184399.568123</v>
      </c>
      <c r="AP111" s="47"/>
      <c r="AQ111" s="47"/>
      <c r="AR111" s="47"/>
      <c r="AS111" s="47"/>
      <c r="AT111" s="47"/>
      <c r="AU111" s="47"/>
    </row>
    <row r="112" spans="1:47" ht="20" x14ac:dyDescent="0.2">
      <c r="AN112" s="63" t="s">
        <v>150</v>
      </c>
      <c r="AO112" s="52">
        <f>AM40</f>
        <v>9331000000</v>
      </c>
      <c r="AP112" s="47"/>
      <c r="AQ112" s="47"/>
      <c r="AR112" s="47"/>
      <c r="AS112" s="47"/>
      <c r="AT112" s="47"/>
      <c r="AU112" s="47"/>
    </row>
    <row r="113" spans="40:47" ht="20" x14ac:dyDescent="0.2">
      <c r="AN113" s="63" t="s">
        <v>138</v>
      </c>
      <c r="AO113" s="52">
        <f>AU100</f>
        <v>7516000000</v>
      </c>
      <c r="AP113" s="47"/>
      <c r="AQ113" s="47"/>
      <c r="AR113" s="47"/>
      <c r="AS113" s="47"/>
      <c r="AT113" s="47"/>
      <c r="AU113" s="47"/>
    </row>
    <row r="114" spans="40:47" ht="20" x14ac:dyDescent="0.2">
      <c r="AN114" s="63" t="s">
        <v>151</v>
      </c>
      <c r="AO114" s="52">
        <f>AO111+AO112-AO113</f>
        <v>37214184399.568123</v>
      </c>
      <c r="AP114" s="47"/>
      <c r="AQ114" s="47"/>
      <c r="AR114" s="47"/>
      <c r="AS114" s="47"/>
      <c r="AT114" s="47"/>
      <c r="AU114" s="47"/>
    </row>
    <row r="115" spans="40:47" ht="20" x14ac:dyDescent="0.2">
      <c r="AN115" s="63" t="s">
        <v>156</v>
      </c>
      <c r="AO115" s="63">
        <f>AM34*(1+(AS16*5))</f>
        <v>1095864951.3932514</v>
      </c>
      <c r="AP115" s="47"/>
      <c r="AQ115" s="47"/>
      <c r="AR115" s="47"/>
      <c r="AS115" s="47"/>
      <c r="AT115" s="47"/>
      <c r="AU115" s="47"/>
    </row>
    <row r="116" spans="40:47" ht="20" x14ac:dyDescent="0.2">
      <c r="AN116" s="64" t="s">
        <v>152</v>
      </c>
      <c r="AO116" s="65">
        <f>AO114/AO115</f>
        <v>33.958732188902538</v>
      </c>
      <c r="AP116" s="47"/>
      <c r="AQ116" s="47"/>
      <c r="AR116" s="47"/>
      <c r="AS116" s="47"/>
      <c r="AT116" s="47"/>
      <c r="AU116" s="47"/>
    </row>
    <row r="117" spans="40:47" ht="20" x14ac:dyDescent="0.2">
      <c r="AN117" s="63" t="s">
        <v>153</v>
      </c>
      <c r="AO117" s="66" cm="1">
        <f t="array" ref="AO117">_FV(A1,"Price")</f>
        <v>69.959999999999994</v>
      </c>
      <c r="AP117" s="47"/>
      <c r="AQ117" s="47"/>
      <c r="AR117" s="47"/>
      <c r="AS117" s="47"/>
      <c r="AT117" s="47"/>
      <c r="AU117" s="47"/>
    </row>
    <row r="118" spans="40:47" ht="20" x14ac:dyDescent="0.2">
      <c r="AN118" s="64" t="s">
        <v>154</v>
      </c>
      <c r="AO118" s="67">
        <f>AO116/AO117-1</f>
        <v>-0.51459788180528099</v>
      </c>
      <c r="AP118" s="47"/>
      <c r="AQ118" s="47"/>
      <c r="AR118" s="47"/>
      <c r="AS118" s="47"/>
      <c r="AT118" s="47"/>
      <c r="AU118" s="47"/>
    </row>
    <row r="119" spans="40:47" ht="20" x14ac:dyDescent="0.2">
      <c r="AN119" s="64" t="s">
        <v>155</v>
      </c>
      <c r="AO119" s="68" t="str">
        <f>IF(AO116&gt;AO117,"BUY","SELL")</f>
        <v>SELL</v>
      </c>
      <c r="AP119" s="47"/>
      <c r="AQ119" s="47"/>
      <c r="AR119" s="47"/>
      <c r="AS119" s="47"/>
      <c r="AT119" s="47"/>
      <c r="AU119" s="47"/>
    </row>
  </sheetData>
  <mergeCells count="7">
    <mergeCell ref="AT84:AU84"/>
    <mergeCell ref="AN104:AR104"/>
    <mergeCell ref="AN110:AO110"/>
    <mergeCell ref="AT105:AU105"/>
    <mergeCell ref="AT99:AU99"/>
    <mergeCell ref="AT94:AU94"/>
    <mergeCell ref="AT85:AU85"/>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 ref="AS107" r:id="rId79" xr:uid="{43C9D453-A189-5D4E-B29B-88AA0894B339}"/>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2023-04-06T05:47:38Z</dcterms:created>
  <dcterms:modified xsi:type="dcterms:W3CDTF">2023-10-08T00:54:47Z</dcterms:modified>
</cp:coreProperties>
</file>