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F912C87-2DF7-4B47-8CF5-D14BF407C0A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05" i="1" l="1"/>
  <c r="AD105" i="1"/>
  <c r="AC105" i="1"/>
  <c r="AB105" i="1"/>
  <c r="AA105" i="1"/>
  <c r="AF7" i="1"/>
  <c r="AA6" i="1"/>
  <c r="AI7" i="1"/>
  <c r="AH7" i="1"/>
  <c r="AG7" i="1"/>
  <c r="AA34" i="1" a="1"/>
  <c r="AA34" i="1" s="1"/>
  <c r="AA35" i="1" s="1"/>
  <c r="AA33" i="1" a="1"/>
  <c r="AA33" i="1" s="1"/>
  <c r="AG22" i="1"/>
  <c r="AA106" i="1"/>
  <c r="AE106" i="1"/>
  <c r="AD106" i="1"/>
  <c r="AC106" i="1"/>
  <c r="AB106" i="1"/>
  <c r="F4" i="1"/>
  <c r="G4" i="1"/>
  <c r="H4" i="1"/>
  <c r="I4" i="1"/>
  <c r="J4" i="1"/>
  <c r="K4" i="1"/>
  <c r="L4" i="1"/>
  <c r="M4" i="1"/>
  <c r="N4" i="1"/>
  <c r="O4" i="1"/>
  <c r="P4" i="1"/>
  <c r="Q4" i="1"/>
  <c r="R4" i="1"/>
  <c r="S4" i="1"/>
  <c r="T4" i="1"/>
  <c r="U4" i="1"/>
  <c r="V4" i="1"/>
  <c r="W4" i="1"/>
  <c r="X4" i="1"/>
  <c r="Y4" i="1"/>
  <c r="Z4" i="1"/>
  <c r="AF4" i="1" s="1"/>
  <c r="AA109" i="1"/>
  <c r="AB109" i="1"/>
  <c r="AC109" i="1"/>
  <c r="AD109" i="1"/>
  <c r="AB30" i="1"/>
  <c r="AC30" i="1"/>
  <c r="AD30" i="1"/>
  <c r="AE30" i="1"/>
  <c r="AA30" i="1"/>
  <c r="AA29" i="1"/>
  <c r="AB29" i="1"/>
  <c r="AC29" i="1"/>
  <c r="AD29" i="1"/>
  <c r="AE29" i="1"/>
  <c r="AB21" i="1"/>
  <c r="AC21" i="1"/>
  <c r="AD21" i="1"/>
  <c r="AE21" i="1"/>
  <c r="AA21" i="1"/>
  <c r="AA20" i="1"/>
  <c r="AB20" i="1"/>
  <c r="AC20" i="1"/>
  <c r="AD20" i="1"/>
  <c r="AE20" i="1"/>
  <c r="AB117" i="1" a="1"/>
  <c r="AB117" i="1" s="1"/>
  <c r="AH96" i="1" a="1"/>
  <c r="AH96" i="1" s="1"/>
  <c r="AH102" i="1" a="1"/>
  <c r="AH102" i="1" s="1"/>
  <c r="AI22" i="1" s="1"/>
  <c r="AB115" i="1"/>
  <c r="AF19" i="1"/>
  <c r="AF16" i="1"/>
  <c r="AI13" i="1"/>
  <c r="AH13" i="1"/>
  <c r="AG13" i="1"/>
  <c r="AF13" i="1"/>
  <c r="AI10" i="1"/>
  <c r="AH10" i="1"/>
  <c r="AG10" i="1"/>
  <c r="AF10" i="1"/>
  <c r="AH4" i="1"/>
  <c r="AG4" i="1"/>
  <c r="AB112" i="1"/>
  <c r="AH91" i="1"/>
  <c r="AH90" i="1"/>
  <c r="AH92" i="1" s="1"/>
  <c r="I105" i="1" s="1"/>
  <c r="AH88" i="1"/>
  <c r="AH87" i="1"/>
  <c r="AH100" i="1" s="1"/>
  <c r="AB113" i="1" s="1"/>
  <c r="AH86" i="1"/>
  <c r="AH89" i="1" s="1"/>
  <c r="AE4" i="1"/>
  <c r="AD4" i="1"/>
  <c r="AC4" i="1"/>
  <c r="AB4" i="1"/>
  <c r="AA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6" i="1"/>
  <c r="K106" i="1"/>
  <c r="L106" i="1"/>
  <c r="M106" i="1"/>
  <c r="N106" i="1"/>
  <c r="O106" i="1"/>
  <c r="P106" i="1"/>
  <c r="Q106" i="1"/>
  <c r="R106" i="1"/>
  <c r="S106" i="1"/>
  <c r="T106" i="1"/>
  <c r="U106" i="1"/>
  <c r="V106" i="1"/>
  <c r="W106" i="1"/>
  <c r="X106" i="1"/>
  <c r="Y106" i="1"/>
  <c r="Z106" i="1"/>
  <c r="AI4" i="1" s="1"/>
  <c r="I106" i="1"/>
  <c r="H106" i="1"/>
  <c r="G106" i="1"/>
  <c r="F106" i="1"/>
  <c r="E106" i="1"/>
  <c r="D106" i="1"/>
  <c r="C106"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E4" i="1"/>
  <c r="D4" i="1"/>
  <c r="C4" i="1"/>
  <c r="X105" i="1" l="1"/>
  <c r="H105" i="1"/>
  <c r="E105" i="1"/>
  <c r="T105" i="1"/>
  <c r="D105" i="1"/>
  <c r="S105" i="1"/>
  <c r="K105" i="1"/>
  <c r="C105" i="1"/>
  <c r="W105" i="1"/>
  <c r="G105" i="1"/>
  <c r="N105" i="1"/>
  <c r="F105" i="1"/>
  <c r="U105" i="1"/>
  <c r="Z105" i="1"/>
  <c r="R105" i="1"/>
  <c r="J105" i="1"/>
  <c r="B105" i="1"/>
  <c r="P105" i="1"/>
  <c r="O105" i="1"/>
  <c r="V105" i="1"/>
  <c r="M105" i="1"/>
  <c r="L105" i="1"/>
  <c r="Y105" i="1"/>
  <c r="Q105" i="1"/>
  <c r="AI19" i="1"/>
  <c r="AF106" i="1"/>
  <c r="AH19" i="1"/>
  <c r="AG19" i="1"/>
  <c r="AH22" i="1"/>
  <c r="AG16" i="1"/>
  <c r="AI16" i="1"/>
  <c r="AH16" i="1"/>
  <c r="AH93" i="1"/>
  <c r="AH107" i="1"/>
  <c r="AH104" i="1"/>
  <c r="AH103" i="1" s="1"/>
  <c r="AH101" i="1" l="1"/>
  <c r="AH95" i="1" l="1"/>
  <c r="AH98" i="1" s="1"/>
  <c r="AH106" i="1" s="1"/>
  <c r="AH109" i="1" s="1"/>
  <c r="AE108" i="1" s="1"/>
  <c r="AE109" i="1" s="1"/>
  <c r="AB111" i="1" s="1"/>
  <c r="AB114" i="1" s="1"/>
  <c r="AB116" i="1" s="1"/>
  <c r="AB119" i="1" l="1"/>
  <c r="AB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<sst xmlns="http://schemas.openxmlformats.org/spreadsheetml/2006/main" count="709" uniqueCount="168">
  <si>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</si>
  <si>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</si>
  <si>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</si>
  <si>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</si>
  <si>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</si>
  <si>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</si>
  <si>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</si>
  <si>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</si>
  <si>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</si>
  <si>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</si>
  <si>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</si>
  <si>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</si>
  <si>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</si>
  <si>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</si>
  <si>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</si>
  <si>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</si>
  <si>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</si>
  <si>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</si>
  <si>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</si>
  <si>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</si>
  <si>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</si>
  <si>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</si>
  <si>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</si>
  <si>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</si>
  <si>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</si>
  <si>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</si>
  <si>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</si>
  <si>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</si>
  <si>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</si>
  <si>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</si>
  <si>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</si>
  <si>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</si>
  <si>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</si>
  <si>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</si>
  <si>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</si>
  <si>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</si>
  <si>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</si>
  <si>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</si>
  <si>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</si>
  <si>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</si>
  <si>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</si>
  <si>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</si>
  <si>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</si>
  <si>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</si>
  <si>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</si>
  <si>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</si>
  <si>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</si>
  <si>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</si>
  <si>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</si>
  <si>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</si>
  <si>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</si>
  <si>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</si>
  <si>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</si>
  <si>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</si>
  <si>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</si>
  <si>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</si>
  <si>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</si>
  <si>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</si>
  <si>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</si>
  <si>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</si>
  <si>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</si>
  <si>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</si>
  <si>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</si>
  <si>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</si>
  <si>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</si>
  <si>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</si>
  <si>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</si>
  <si>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</si>
  <si>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</si>
  <si>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</si>
  <si>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</si>
  <si>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</si>
  <si>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</si>
  <si>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</si>
  <si>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</si>
  <si>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</si>
  <si>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</si>
  <si>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</si>
  <si>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</si>
  <si>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</si>
  <si>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</si>
  <si>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</si>
  <si>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</si>
  <si>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</si>
  <si>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</si>
  <si>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</si>
  <si>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</si>
  <si>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</si>
  <si>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</si>
  <si>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</si>
  <si>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</si>
  <si>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</si>
  <si>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</si>
  <si>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</si>
  <si>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</si>
  <si>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</si>
  <si>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</si>
  <si>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</si>
  <si>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</si>
  <si>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</si>
  <si>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</si>
  <si>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</si>
  <si>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</si>
  <si>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</si>
  <si>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</si>
  <si>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</si>
  <si>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</si>
  <si>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</si>
  <si>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</si>
  <si>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</si>
  <si>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</si>
  <si>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</si>
  <si>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</si>
  <si>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</si>
  <si>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</si>
  <si>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</si>
  <si>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</si>
  <si>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</si>
  <si>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</si>
  <si>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</si>
  <si>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</si>
  <si>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</si>
  <si>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</si>
  <si>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</si>
  <si>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</si>
  <si>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</si>
  <si>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</si>
  <si>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</si>
  <si>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</si>
  <si>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</si>
  <si>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</si>
  <si>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</si>
  <si>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</si>
  <si>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</si>
  <si>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</si>
  <si>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</si>
  <si>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</si>
  <si>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</si>
  <si>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</si>
  <si>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</si>
  <si>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</si>
  <si>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</si>
  <si>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</si>
  <si>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</si>
  <si>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</si>
  <si>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</si>
  <si>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</si>
  <si>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</si>
  <si>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</si>
  <si>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</si>
  <si>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</si>
  <si>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</si>
  <si>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</si>
  <si>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</si>
  <si>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</si>
  <si>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</si>
  <si>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</si>
  <si>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P/FCF</t>
  </si>
  <si>
    <t>Forward P/S</t>
  </si>
  <si>
    <t xml:space="preserve"> Forward P/E</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</si>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</sst>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9"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6" fontId="10" fillId="0" borderId="0" xfId="0" applyNumberFormat="1" applyFont="1"/>
    <xf numFmtId="0" fontId="17" fillId="0" borderId="0" xfId="0" applyFont="1"/>
    <xf numFmtId="164" fontId="13" fillId="0" borderId="3"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168" fontId="11" fillId="0" borderId="8" xfId="0" applyNumberFormat="1" applyFont="1" applyBorder="1" applyAlignment="1">
      <alignment horizontal="center"/>
    </xf>
    <xf numFmtId="0" fontId="1" fillId="0" borderId="0" xfId="0" applyFont="1" applyAlignment="1">
      <alignment indent="1"/>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5" fontId="10" fillId="0" borderId="10" xfId="0" applyNumberFormat="1" applyFont="1" applyBorder="1"/>
    <xf numFmtId="2" fontId="11" fillId="0" borderId="7" xfId="0" applyNumberFormat="1" applyFont="1" applyBorder="1" applyAlignment="1">
      <alignment horizontal="center"/>
    </xf>
    <xf numFmtId="0" fontId="18" fillId="7" borderId="8" xfId="0" applyFont="1" applyFill="1" applyBorder="1" applyAlignment="1">
      <alignment horizontal="center" vertical="center" wrapText="1"/>
    </xf>
    <xf numFmtId="0" fontId="0" fillId="0" borderId="0" xfId="0"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10" fillId="6" borderId="0" xfId="0" applyNumberFormat="1" applyFont="1" applyFill="1" applyAlignment="1">
      <alignment vertical="center"/>
    </xf>
    <xf numFmtId="164" fontId="1" fillId="6" borderId="0" xfId="0" applyNumberFormat="1" applyFont="1" applyFill="1" applyAlignment="1">
      <alignment vertical="center"/>
    </xf>
    <xf numFmtId="0" fontId="0" fillId="5" borderId="0" xfId="0" applyFill="1" applyAlignment="1">
      <alignment horizontal="left" vertical="center"/>
    </xf>
    <xf numFmtId="164" fontId="1" fillId="5" borderId="0" xfId="0" applyNumberFormat="1" applyFont="1" applyFill="1" applyAlignment="1">
      <alignment vertical="center" wrapText="1"/>
    </xf>
    <xf numFmtId="164" fontId="1" fillId="5" borderId="0" xfId="0" applyNumberFormat="1" applyFont="1" applyFill="1" applyAlignment="1">
      <alignment vertical="center"/>
    </xf>
    <xf numFmtId="164" fontId="1" fillId="3" borderId="0" xfId="0" applyNumberFormat="1" applyFont="1" applyFill="1" applyAlignment="1">
      <alignment vertical="center" wrapText="1"/>
    </xf>
    <xf numFmtId="167"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2" fillId="5" borderId="0" xfId="0" applyNumberFormat="1" applyFont="1" applyFill="1" applyAlignment="1">
      <alignment vertical="center"/>
    </xf>
    <xf numFmtId="10" fontId="12" fillId="3" borderId="0" xfId="0" applyNumberFormat="1" applyFont="1" applyFill="1" applyAlignment="1">
      <alignment vertical="center"/>
    </xf>
    <xf numFmtId="9" fontId="16" fillId="5" borderId="0" xfId="0" applyNumberFormat="1" applyFont="1" applyFill="1" applyAlignment="1">
      <alignment vertical="center" wrapText="1"/>
    </xf>
    <xf numFmtId="0" fontId="16" fillId="6" borderId="0" xfId="0" applyFont="1" applyFill="1" applyAlignment="1">
      <alignment vertical="center" wrapText="1"/>
    </xf>
    <xf numFmtId="0" fontId="16" fillId="5" borderId="0" xfId="0" applyFont="1" applyFill="1" applyAlignment="1">
      <alignment vertical="center"/>
    </xf>
    <xf numFmtId="10" fontId="11" fillId="0" borderId="9" xfId="0" applyNumberFormat="1" applyFont="1" applyBorder="1" applyAlignment="1">
      <alignment horizontal="center"/>
    </xf>
    <xf numFmtId="0" fontId="13" fillId="7" borderId="5" xfId="0" applyFont="1" applyFill="1" applyBorder="1" applyAlignment="1">
      <alignment horizontal="center" vertical="center" wrapText="1"/>
    </xf>
    <xf numFmtId="0" fontId="13" fillId="7" borderId="8"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 fillId="3" borderId="0" xfId="0" applyFont="1" applyFill="1" applyAlignment="1">
      <alignment horizontal="center" vertical="center"/>
    </xf>
    <xf numFmtId="0" fontId="12" fillId="4" borderId="0" xfId="0" applyFont="1" applyFill="1" applyAlignment="1">
      <alignment horizontal="center" vertical="center" wrapText="1"/>
    </xf>
    <xf numFmtId="0" fontId="14" fillId="3" borderId="0" xfId="0" applyFont="1" applyFill="1" applyAlignment="1">
      <alignment horizontal="center" vertical="center"/>
    </xf>
    <xf numFmtId="0" fontId="15"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Unlevered Free Cash Flow</a:t>
            </a:r>
          </a:p>
        </c:rich>
      </c:tx>
      <c:layout>
        <c:manualLayout>
          <c:xMode val="edge"/>
          <c:yMode val="edge"/>
          <c:x val="0.32698178399341876"/>
          <c:y val="4.041765332770951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63681592039791E-2"/>
          <c:y val="0.15770968328472257"/>
          <c:w val="0.83974792703150924"/>
          <c:h val="0.69139774429182876"/>
        </c:manualLayout>
      </c:layout>
      <c:barChart>
        <c:barDir val="col"/>
        <c:grouping val="clustered"/>
        <c:varyColors val="0"/>
        <c:ser>
          <c:idx val="0"/>
          <c:order val="0"/>
          <c:tx>
            <c:strRef>
              <c:f>'Sheet 1'!$A$105</c:f>
              <c:strCache>
                <c:ptCount val="1"/>
                <c:pt idx="0">
                  <c:v>Unlevered FCF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1'!$B$1:$Z$1</c:f>
              <c:numCache>
                <c:formatCode>General</c:formatCode>
                <c:ptCount val="25"/>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numCache>
            </c:numRef>
          </c:cat>
          <c:val>
            <c:numRef>
              <c:f>'Sheet 1'!$B$105:$Z$105</c:f>
              <c:numCache>
                <c:formatCode>#,###,,;\(#,###,,\);\ \-\ \-</c:formatCode>
                <c:ptCount val="25"/>
                <c:pt idx="0">
                  <c:v>-16197129.873236068</c:v>
                </c:pt>
                <c:pt idx="1">
                  <c:v>7566897.8713226542</c:v>
                </c:pt>
                <c:pt idx="2">
                  <c:v>19194586.223391533</c:v>
                </c:pt>
                <c:pt idx="3">
                  <c:v>14899260.224826574</c:v>
                </c:pt>
                <c:pt idx="4">
                  <c:v>168041061.70772544</c:v>
                </c:pt>
                <c:pt idx="5">
                  <c:v>-139559374.79071993</c:v>
                </c:pt>
                <c:pt idx="6">
                  <c:v>48737423.343697667</c:v>
                </c:pt>
                <c:pt idx="7">
                  <c:v>363395773.25998569</c:v>
                </c:pt>
                <c:pt idx="8">
                  <c:v>262606841.42549634</c:v>
                </c:pt>
                <c:pt idx="9">
                  <c:v>914335469.98325765</c:v>
                </c:pt>
                <c:pt idx="10">
                  <c:v>-323517861.75556087</c:v>
                </c:pt>
                <c:pt idx="11">
                  <c:v>160958428.12724227</c:v>
                </c:pt>
                <c:pt idx="12">
                  <c:v>485106423.34369767</c:v>
                </c:pt>
                <c:pt idx="13">
                  <c:v>686922086.8213346</c:v>
                </c:pt>
                <c:pt idx="14">
                  <c:v>549849770.38985896</c:v>
                </c:pt>
                <c:pt idx="15">
                  <c:v>470231680.69839752</c:v>
                </c:pt>
                <c:pt idx="16">
                  <c:v>620259350.15546525</c:v>
                </c:pt>
                <c:pt idx="17">
                  <c:v>773589571.87275779</c:v>
                </c:pt>
                <c:pt idx="18">
                  <c:v>1179499641.2341545</c:v>
                </c:pt>
                <c:pt idx="19">
                  <c:v>2857429083.9512081</c:v>
                </c:pt>
                <c:pt idx="20">
                  <c:v>2438861755.5608706</c:v>
                </c:pt>
                <c:pt idx="21">
                  <c:v>3327709399.6651521</c:v>
                </c:pt>
                <c:pt idx="22">
                  <c:v>3596301124.1329823</c:v>
                </c:pt>
                <c:pt idx="23">
                  <c:v>6426904807.4623299</c:v>
                </c:pt>
                <c:pt idx="24">
                  <c:v>2930076775.8909359</c:v>
                </c:pt>
              </c:numCache>
            </c:numRef>
          </c:val>
          <c:extLst>
            <c:ext xmlns:c16="http://schemas.microsoft.com/office/drawing/2014/chart" uri="{C3380CC4-5D6E-409C-BE32-E72D297353CC}">
              <c16:uniqueId val="{00000000-97A1-F848-9E5C-48CE0E23BFDA}"/>
            </c:ext>
          </c:extLst>
        </c:ser>
        <c:dLbls>
          <c:showLegendKey val="0"/>
          <c:showVal val="0"/>
          <c:showCatName val="0"/>
          <c:showSerName val="0"/>
          <c:showPercent val="0"/>
          <c:showBubbleSize val="0"/>
        </c:dLbls>
        <c:gapWidth val="100"/>
        <c:overlap val="-24"/>
        <c:axId val="1570520400"/>
        <c:axId val="1572952192"/>
      </c:barChart>
      <c:catAx>
        <c:axId val="15705204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572952192"/>
        <c:crosses val="autoZero"/>
        <c:auto val="1"/>
        <c:lblAlgn val="ctr"/>
        <c:lblOffset val="100"/>
        <c:noMultiLvlLbl val="0"/>
      </c:catAx>
      <c:valAx>
        <c:axId val="157295219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57052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Nvidia</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306156405990009E-2"/>
          <c:y val="0.15230442409999886"/>
          <c:w val="0.83181364392678869"/>
          <c:h val="0.6199715128358198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1'!$B$1:$AE$1</c:f>
              <c:numCache>
                <c:formatCode>General</c:formatCode>
                <c:ptCount val="30"/>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pt idx="25">
                  <c:v>2024</c:v>
                </c:pt>
                <c:pt idx="26">
                  <c:v>2025</c:v>
                </c:pt>
                <c:pt idx="27">
                  <c:v>2026</c:v>
                </c:pt>
                <c:pt idx="28">
                  <c:v>2027</c:v>
                </c:pt>
                <c:pt idx="29">
                  <c:v>2028</c:v>
                </c:pt>
              </c:numCache>
            </c:numRef>
          </c:cat>
          <c:val>
            <c:numRef>
              <c:f>'Sheet 1'!$B$3:$AE$3</c:f>
              <c:numCache>
                <c:formatCode>#,###,,;\(#,###,,\);\ \-\ \-</c:formatCode>
                <c:ptCount val="30"/>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pt idx="25">
                  <c:v>54199000000</c:v>
                </c:pt>
                <c:pt idx="26">
                  <c:v>75096000000</c:v>
                </c:pt>
                <c:pt idx="27">
                  <c:v>89760000000</c:v>
                </c:pt>
                <c:pt idx="28">
                  <c:v>104300000000</c:v>
                </c:pt>
                <c:pt idx="29">
                  <c:v>118000000000</c:v>
                </c:pt>
              </c:numCache>
            </c:numRef>
          </c:val>
          <c:extLst>
            <c:ext xmlns:c16="http://schemas.microsoft.com/office/drawing/2014/chart" uri="{C3380CC4-5D6E-409C-BE32-E72D297353CC}">
              <c16:uniqueId val="{00000000-71F7-CB40-8F69-84D4C218C93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1'!$B$1:$AE$1</c:f>
              <c:numCache>
                <c:formatCode>General</c:formatCode>
                <c:ptCount val="30"/>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pt idx="25">
                  <c:v>2024</c:v>
                </c:pt>
                <c:pt idx="26">
                  <c:v>2025</c:v>
                </c:pt>
                <c:pt idx="27">
                  <c:v>2026</c:v>
                </c:pt>
                <c:pt idx="28">
                  <c:v>2027</c:v>
                </c:pt>
                <c:pt idx="29">
                  <c:v>2028</c:v>
                </c:pt>
              </c:numCache>
            </c:numRef>
          </c:cat>
          <c:val>
            <c:numRef>
              <c:f>'Sheet 1'!$B$28:$AE$28</c:f>
              <c:numCache>
                <c:formatCode>#,###,,;\(#,###,,\);\ \-\ \-</c:formatCode>
                <c:ptCount val="30"/>
                <c:pt idx="0">
                  <c:v>4100000</c:v>
                </c:pt>
                <c:pt idx="1">
                  <c:v>38100000</c:v>
                </c:pt>
                <c:pt idx="2">
                  <c:v>99937000</c:v>
                </c:pt>
                <c:pt idx="3">
                  <c:v>176924000</c:v>
                </c:pt>
                <c:pt idx="4">
                  <c:v>90799000</c:v>
                </c:pt>
                <c:pt idx="5">
                  <c:v>74419000</c:v>
                </c:pt>
                <c:pt idx="6">
                  <c:v>100356000</c:v>
                </c:pt>
                <c:pt idx="7">
                  <c:v>302586000</c:v>
                </c:pt>
                <c:pt idx="8">
                  <c:v>448834000</c:v>
                </c:pt>
                <c:pt idx="9">
                  <c:v>797645000</c:v>
                </c:pt>
                <c:pt idx="10">
                  <c:v>-30041000</c:v>
                </c:pt>
                <c:pt idx="11">
                  <c:v>-67987000</c:v>
                </c:pt>
                <c:pt idx="12">
                  <c:v>253146000</c:v>
                </c:pt>
                <c:pt idx="13">
                  <c:v>581090000</c:v>
                </c:pt>
                <c:pt idx="14">
                  <c:v>562536000</c:v>
                </c:pt>
                <c:pt idx="15">
                  <c:v>439990000</c:v>
                </c:pt>
                <c:pt idx="16">
                  <c:v>630587000</c:v>
                </c:pt>
                <c:pt idx="17">
                  <c:v>614000000</c:v>
                </c:pt>
                <c:pt idx="18">
                  <c:v>1666000000</c:v>
                </c:pt>
                <c:pt idx="19">
                  <c:v>3047000000</c:v>
                </c:pt>
                <c:pt idx="20">
                  <c:v>4141000000</c:v>
                </c:pt>
                <c:pt idx="21">
                  <c:v>2796000000</c:v>
                </c:pt>
                <c:pt idx="22">
                  <c:v>4332000000</c:v>
                </c:pt>
                <c:pt idx="23">
                  <c:v>9752000000</c:v>
                </c:pt>
                <c:pt idx="24">
                  <c:v>4368000000</c:v>
                </c:pt>
                <c:pt idx="25">
                  <c:v>26962000000</c:v>
                </c:pt>
                <c:pt idx="26">
                  <c:v>39837000000</c:v>
                </c:pt>
                <c:pt idx="27">
                  <c:v>46401000000</c:v>
                </c:pt>
                <c:pt idx="28">
                  <c:v>54892000000</c:v>
                </c:pt>
                <c:pt idx="29">
                  <c:v>61331000000</c:v>
                </c:pt>
              </c:numCache>
            </c:numRef>
          </c:val>
          <c:extLst>
            <c:ext xmlns:c16="http://schemas.microsoft.com/office/drawing/2014/chart" uri="{C3380CC4-5D6E-409C-BE32-E72D297353CC}">
              <c16:uniqueId val="{00000001-71F7-CB40-8F69-84D4C218C93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1'!$B$1:$AE$1</c:f>
              <c:numCache>
                <c:formatCode>General</c:formatCode>
                <c:ptCount val="30"/>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pt idx="25">
                  <c:v>2024</c:v>
                </c:pt>
                <c:pt idx="26">
                  <c:v>2025</c:v>
                </c:pt>
                <c:pt idx="27">
                  <c:v>2026</c:v>
                </c:pt>
                <c:pt idx="28">
                  <c:v>2027</c:v>
                </c:pt>
                <c:pt idx="29">
                  <c:v>2028</c:v>
                </c:pt>
              </c:numCache>
            </c:numRef>
          </c:cat>
          <c:val>
            <c:numRef>
              <c:f>'Sheet 1'!$B$107:$AE$107</c:f>
              <c:numCache>
                <c:formatCode>#,###,,;\(#,###,,\);\ \-\ \-</c:formatCode>
                <c:ptCount val="30"/>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pt idx="25">
                  <c:v>24458000000</c:v>
                </c:pt>
                <c:pt idx="26">
                  <c:v>38864000000</c:v>
                </c:pt>
                <c:pt idx="27">
                  <c:v>46144000000</c:v>
                </c:pt>
                <c:pt idx="28">
                  <c:v>49058000000</c:v>
                </c:pt>
                <c:pt idx="29">
                  <c:v>76350000000</c:v>
                </c:pt>
              </c:numCache>
            </c:numRef>
          </c:val>
          <c:extLst>
            <c:ext xmlns:c16="http://schemas.microsoft.com/office/drawing/2014/chart" uri="{C3380CC4-5D6E-409C-BE32-E72D297353CC}">
              <c16:uniqueId val="{00000002-71F7-CB40-8F69-84D4C218C930}"/>
            </c:ext>
          </c:extLst>
        </c:ser>
        <c:dLbls>
          <c:showLegendKey val="0"/>
          <c:showVal val="0"/>
          <c:showCatName val="0"/>
          <c:showSerName val="0"/>
          <c:showPercent val="0"/>
          <c:showBubbleSize val="0"/>
        </c:dLbls>
        <c:gapWidth val="150"/>
        <c:overlap val="100"/>
        <c:axId val="316203455"/>
        <c:axId val="329116767"/>
      </c:barChart>
      <c:catAx>
        <c:axId val="3162034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329116767"/>
        <c:crosses val="autoZero"/>
        <c:auto val="1"/>
        <c:lblAlgn val="ctr"/>
        <c:lblOffset val="100"/>
        <c:noMultiLvlLbl val="0"/>
      </c:catAx>
      <c:valAx>
        <c:axId val="3291167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6203455"/>
        <c:crosses val="autoZero"/>
        <c:crossBetween val="between"/>
      </c:valAx>
      <c:spPr>
        <a:noFill/>
        <a:ln>
          <a:noFill/>
        </a:ln>
        <a:effectLst/>
      </c:spPr>
    </c:plotArea>
    <c:legend>
      <c:legendPos val="b"/>
      <c:layout>
        <c:manualLayout>
          <c:xMode val="edge"/>
          <c:yMode val="edge"/>
          <c:x val="0.3420655862276783"/>
          <c:y val="0.90411943058382327"/>
          <c:w val="0.31586872273245381"/>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15874</xdr:colOff>
      <xdr:row>148</xdr:row>
      <xdr:rowOff>33337</xdr:rowOff>
    </xdr:from>
    <xdr:to>
      <xdr:col>34</xdr:col>
      <xdr:colOff>15874</xdr:colOff>
      <xdr:row>170</xdr:row>
      <xdr:rowOff>206374</xdr:rowOff>
    </xdr:to>
    <xdr:graphicFrame macro="">
      <xdr:nvGraphicFramePr>
        <xdr:cNvPr id="10" name="Chart 9">
          <a:extLst>
            <a:ext uri="{FF2B5EF4-FFF2-40B4-BE49-F238E27FC236}">
              <a16:creationId xmlns:a16="http://schemas.microsoft.com/office/drawing/2014/main" id="{23698A24-4F61-FBFB-6453-B639C87F17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15874</xdr:colOff>
      <xdr:row>109</xdr:row>
      <xdr:rowOff>33338</xdr:rowOff>
    </xdr:from>
    <xdr:to>
      <xdr:col>33</xdr:col>
      <xdr:colOff>1571624</xdr:colOff>
      <xdr:row>127</xdr:row>
      <xdr:rowOff>15875</xdr:rowOff>
    </xdr:to>
    <xdr:graphicFrame macro="">
      <xdr:nvGraphicFramePr>
        <xdr:cNvPr id="2" name="Chart 1">
          <a:extLst>
            <a:ext uri="{FF2B5EF4-FFF2-40B4-BE49-F238E27FC236}">
              <a16:creationId xmlns:a16="http://schemas.microsoft.com/office/drawing/2014/main" id="{483233FB-9065-187B-3735-994F6425CD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502.66</v>
    <v>118.34</v>
    <v>1.6849000000000001</v>
    <v>-0.95</v>
    <v>-2.251E-3</v>
    <v>-3.91</v>
    <v>-9.2870000000000001E-3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432.97</v>
    <v>Semiconductors &amp; Semiconductor Equipment</v>
    <v>Stock</v>
    <v>45218.999969154691</v>
    <v>0</v>
    <v>418.82</v>
    <v>1039894700000</v>
    <v>NVIDIA CORPORATION</v>
    <v>NVIDIA CORPORATION</v>
    <v>428.11</v>
    <v>101.9318</v>
    <v>421.96</v>
    <v>421.01</v>
    <v>417.1</v>
    <v>2470000000</v>
    <v>NVDA</v>
    <v>NVIDIA CORPORATION (XNAS:NVDA)</v>
    <v>50123308</v>
    <v>44631609</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hyperlink" Target="https://finbox.com/NASDAQGS:NVDA/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54" Type="http://schemas.openxmlformats.org/officeDocument/2006/relationships/drawing" Target="../drawings/drawing1.xm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X88" activePane="bottomRight" state="frozen"/>
      <selection pane="topRight"/>
      <selection pane="bottomLeft"/>
      <selection pane="bottomRight" activeCell="AA97" sqref="AA97"/>
    </sheetView>
  </sheetViews>
  <sheetFormatPr baseColWidth="10" defaultRowHeight="16" x14ac:dyDescent="0.2"/>
  <cols>
    <col min="1" max="1" width="50" customWidth="1"/>
    <col min="2" max="26" width="15" customWidth="1"/>
    <col min="27" max="31" width="21" customWidth="1"/>
    <col min="32" max="35" width="20.83203125"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0">
        <v>2024</v>
      </c>
      <c r="AB1" s="20">
        <v>2025</v>
      </c>
      <c r="AC1" s="20">
        <v>2026</v>
      </c>
      <c r="AD1" s="20">
        <v>2027</v>
      </c>
      <c r="AE1" s="20">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1">
        <v>54199000000</v>
      </c>
      <c r="AB3" s="21">
        <v>75096000000</v>
      </c>
      <c r="AC3" s="21">
        <v>89760000000</v>
      </c>
      <c r="AD3" s="21">
        <v>104300000000</v>
      </c>
      <c r="AE3" s="21">
        <v>118000000000</v>
      </c>
      <c r="AF3" s="22" t="s">
        <v>108</v>
      </c>
      <c r="AG3" s="23" t="s">
        <v>109</v>
      </c>
      <c r="AH3" s="23" t="s">
        <v>110</v>
      </c>
      <c r="AI3" s="23" t="s">
        <v>111</v>
      </c>
    </row>
    <row r="4" spans="1:38" ht="19" x14ac:dyDescent="0.25">
      <c r="A4" s="14" t="s">
        <v>93</v>
      </c>
      <c r="B4" s="1"/>
      <c r="C4" s="15">
        <f>(C3/B3)-1</f>
        <v>1.4735799207397622</v>
      </c>
      <c r="D4" s="15">
        <f>(D3/C3)-1</f>
        <v>0.96332176234979983</v>
      </c>
      <c r="E4" s="15">
        <f>(E3/D3)-1</f>
        <v>0.86255685032858942</v>
      </c>
      <c r="F4" s="15">
        <f t="shared" ref="F4:Z4" si="0">(F3/E3)-1</f>
        <v>0.39429531549043384</v>
      </c>
      <c r="G4" s="15">
        <f t="shared" si="0"/>
        <v>-4.5302121504288917E-2</v>
      </c>
      <c r="H4" s="15">
        <f t="shared" si="0"/>
        <v>0.10262953627235061</v>
      </c>
      <c r="I4" s="15">
        <f t="shared" si="0"/>
        <v>0.18191442628056365</v>
      </c>
      <c r="J4" s="15">
        <f t="shared" si="0"/>
        <v>0.29174045234073342</v>
      </c>
      <c r="K4" s="15">
        <f t="shared" si="0"/>
        <v>0.33534238951032846</v>
      </c>
      <c r="L4" s="15">
        <f t="shared" si="0"/>
        <v>-0.16423230661857657</v>
      </c>
      <c r="M4" s="15">
        <f t="shared" si="0"/>
        <v>-2.8735197565797566E-2</v>
      </c>
      <c r="N4" s="15">
        <f t="shared" si="0"/>
        <v>6.5193923242380381E-2</v>
      </c>
      <c r="O4" s="15">
        <f t="shared" si="0"/>
        <v>0.12830407960468593</v>
      </c>
      <c r="P4" s="15">
        <f t="shared" si="0"/>
        <v>7.0593782282331041E-2</v>
      </c>
      <c r="Q4" s="15">
        <f t="shared" si="0"/>
        <v>-3.5044726142183014E-2</v>
      </c>
      <c r="R4" s="15">
        <f t="shared" si="0"/>
        <v>0.13349234243112007</v>
      </c>
      <c r="S4" s="15">
        <f t="shared" si="0"/>
        <v>7.0168217200145211E-2</v>
      </c>
      <c r="T4" s="15">
        <f t="shared" si="0"/>
        <v>0.37924151696606789</v>
      </c>
      <c r="U4" s="15">
        <f t="shared" si="0"/>
        <v>0.40578871201157751</v>
      </c>
      <c r="V4" s="15">
        <f t="shared" si="0"/>
        <v>0.20609429689108505</v>
      </c>
      <c r="W4" s="15">
        <f t="shared" si="0"/>
        <v>-6.8111983612154314E-2</v>
      </c>
      <c r="X4" s="15">
        <f t="shared" si="0"/>
        <v>0.52729437625938824</v>
      </c>
      <c r="Y4" s="15">
        <f t="shared" si="0"/>
        <v>0.61403298350824587</v>
      </c>
      <c r="Z4" s="15">
        <f t="shared" si="0"/>
        <v>2.2293230289069932E-3</v>
      </c>
      <c r="AA4" s="16">
        <f t="shared" ref="AA4:AE4" si="1">(AA3/Z3)-1</f>
        <v>1.0093052569140655</v>
      </c>
      <c r="AB4" s="16">
        <f t="shared" si="1"/>
        <v>0.38556061919961615</v>
      </c>
      <c r="AC4" s="16">
        <f t="shared" si="1"/>
        <v>0.19527005433045708</v>
      </c>
      <c r="AD4" s="16">
        <f t="shared" si="1"/>
        <v>0.16198752228164004</v>
      </c>
      <c r="AE4" s="16">
        <f t="shared" si="1"/>
        <v>0.13135186960690315</v>
      </c>
      <c r="AF4" s="24">
        <f>(Z4+Y4+X4)/3</f>
        <v>0.38118556093218037</v>
      </c>
      <c r="AG4" s="24">
        <f>(Z20+Y20+X20)/3</f>
        <v>0.40909729531125477</v>
      </c>
      <c r="AH4" s="24">
        <f>(Z29+Y29+X29)/3</f>
        <v>0.41613951529322118</v>
      </c>
      <c r="AI4" s="24">
        <f>(Z106+Y106+X106)/3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A6" s="27">
        <f>AA3*AA7</f>
        <v>38210295000</v>
      </c>
      <c r="AF6" s="70" t="s">
        <v>112</v>
      </c>
      <c r="AG6" s="69" t="s">
        <v>113</v>
      </c>
      <c r="AH6" s="69" t="s">
        <v>114</v>
      </c>
      <c r="AI6" s="69" t="s">
        <v>115</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A7" s="2">
        <v>0.70499999999999996</v>
      </c>
      <c r="AF7" s="24">
        <f>AA7</f>
        <v>0.70499999999999996</v>
      </c>
      <c r="AG7" s="25">
        <f>AA21</f>
        <v>0.52643037694422401</v>
      </c>
      <c r="AH7" s="25">
        <f>AA30</f>
        <v>0.49746305282385284</v>
      </c>
      <c r="AI7" s="25">
        <f>AA107/AA3</f>
        <v>0.45126293843059834</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94</v>
      </c>
      <c r="B9" s="15">
        <f>B8/B3</f>
        <v>0.16578599735799207</v>
      </c>
      <c r="C9" s="15">
        <f t="shared" ref="C9:Z9" si="2">C8/C3</f>
        <v>0.12656875834445927</v>
      </c>
      <c r="D9" s="15">
        <f t="shared" si="2"/>
        <v>0.11756049527788658</v>
      </c>
      <c r="E9" s="15">
        <f t="shared" si="2"/>
        <v>0.11239376372336471</v>
      </c>
      <c r="F9" s="15">
        <f t="shared" si="2"/>
        <v>0.1177686523899328</v>
      </c>
      <c r="G9" s="15">
        <f t="shared" si="2"/>
        <v>0.14809662386961758</v>
      </c>
      <c r="H9" s="15">
        <f t="shared" si="2"/>
        <v>0.16671567083724495</v>
      </c>
      <c r="I9" s="15">
        <f t="shared" si="2"/>
        <v>0.14820933902487995</v>
      </c>
      <c r="J9" s="15">
        <f t="shared" si="2"/>
        <v>0.18035461101528918</v>
      </c>
      <c r="K9" s="15">
        <f t="shared" si="2"/>
        <v>0.16878004617044018</v>
      </c>
      <c r="L9" s="15">
        <f t="shared" si="2"/>
        <v>0.24990196676709903</v>
      </c>
      <c r="M9" s="15">
        <f t="shared" si="2"/>
        <v>0.27321990894182829</v>
      </c>
      <c r="N9" s="15">
        <f t="shared" si="2"/>
        <v>0.23955855952726673</v>
      </c>
      <c r="O9" s="15">
        <f t="shared" si="2"/>
        <v>0.25078102918260198</v>
      </c>
      <c r="P9" s="15">
        <f t="shared" si="2"/>
        <v>0.26804658425072525</v>
      </c>
      <c r="Q9" s="15">
        <f t="shared" si="2"/>
        <v>0.32343380235448393</v>
      </c>
      <c r="R9" s="15">
        <f t="shared" si="2"/>
        <v>0.29044600381885577</v>
      </c>
      <c r="S9" s="15">
        <f t="shared" si="2"/>
        <v>0.26566866267465072</v>
      </c>
      <c r="T9" s="15">
        <f t="shared" si="2"/>
        <v>0.21172214182344429</v>
      </c>
      <c r="U9" s="15">
        <f t="shared" si="2"/>
        <v>0.18499073502161828</v>
      </c>
      <c r="V9" s="15">
        <f t="shared" si="2"/>
        <v>0.20279959030385797</v>
      </c>
      <c r="W9" s="15">
        <f t="shared" si="2"/>
        <v>0.25911339073090311</v>
      </c>
      <c r="X9" s="15">
        <f t="shared" si="2"/>
        <v>0.2353223388305847</v>
      </c>
      <c r="Y9" s="15">
        <f t="shared" si="2"/>
        <v>0.19573456193802483</v>
      </c>
      <c r="Z9" s="15">
        <f t="shared" si="2"/>
        <v>0.27207681471046191</v>
      </c>
      <c r="AF9" s="22" t="s">
        <v>95</v>
      </c>
      <c r="AG9" s="23" t="s">
        <v>96</v>
      </c>
      <c r="AH9" s="23" t="s">
        <v>97</v>
      </c>
      <c r="AI9" s="23"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F10" s="24">
        <f>Z9</f>
        <v>0.27207681471046191</v>
      </c>
      <c r="AG10" s="25">
        <f>Z13</f>
        <v>9.0457477570994288E-2</v>
      </c>
      <c r="AH10" s="25">
        <f>Z80</f>
        <v>0.10043004374582931</v>
      </c>
      <c r="AI10" s="25">
        <f>Z89</f>
        <v>6.7954326388373995E-2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22" t="s">
        <v>116</v>
      </c>
      <c r="AG12" s="23" t="s">
        <v>117</v>
      </c>
      <c r="AH12" s="23" t="s">
        <v>118</v>
      </c>
      <c r="AI12" s="23" t="s">
        <v>119</v>
      </c>
    </row>
    <row r="13" spans="1:38" ht="19" x14ac:dyDescent="0.25">
      <c r="A13" s="14" t="s">
        <v>99</v>
      </c>
      <c r="B13" s="15">
        <f>B12/B3</f>
        <v>0.12483487450462351</v>
      </c>
      <c r="C13" s="15">
        <f t="shared" ref="C13:Z13" si="3">C12/C3</f>
        <v>9.9065420560747658E-2</v>
      </c>
      <c r="D13" s="15">
        <f t="shared" si="3"/>
        <v>7.9477575401488448E-2</v>
      </c>
      <c r="E13" s="15">
        <f t="shared" si="3"/>
        <v>7.0965358156543659E-2</v>
      </c>
      <c r="F13" s="15">
        <f t="shared" si="3"/>
        <v>0.10848847860139611</v>
      </c>
      <c r="G13" s="15">
        <f t="shared" si="3"/>
        <v>9.0649471048221422E-2</v>
      </c>
      <c r="H13" s="15">
        <f t="shared" si="3"/>
        <v>9.9893384834975341E-2</v>
      </c>
      <c r="I13" s="15">
        <f t="shared" si="3"/>
        <v>8.6055528358744235E-2</v>
      </c>
      <c r="J13" s="15">
        <f t="shared" si="3"/>
        <v>9.5650669274442435E-2</v>
      </c>
      <c r="K13" s="15">
        <f t="shared" si="3"/>
        <v>8.3286642296222901E-2</v>
      </c>
      <c r="L13" s="15">
        <f t="shared" si="3"/>
        <v>0.10576260219763792</v>
      </c>
      <c r="M13" s="15">
        <f t="shared" si="3"/>
        <v>0.11033310335808949</v>
      </c>
      <c r="N13" s="15">
        <f t="shared" si="3"/>
        <v>0.11811360510754212</v>
      </c>
      <c r="O13" s="15">
        <f t="shared" si="3"/>
        <v>0.10145575335235985</v>
      </c>
      <c r="P13" s="15">
        <f t="shared" si="3"/>
        <v>0.10065560648564691</v>
      </c>
      <c r="Q13" s="15">
        <f t="shared" si="3"/>
        <v>0.10549271432936529</v>
      </c>
      <c r="R13" s="15">
        <f t="shared" si="3"/>
        <v>0.10269406838438989</v>
      </c>
      <c r="S13" s="15">
        <f t="shared" si="3"/>
        <v>0.12015968063872255</v>
      </c>
      <c r="T13" s="15">
        <f t="shared" si="3"/>
        <v>9.5947901591895798E-2</v>
      </c>
      <c r="U13" s="15">
        <f t="shared" si="3"/>
        <v>8.3899526456660489E-2</v>
      </c>
      <c r="V13" s="15">
        <f t="shared" si="3"/>
        <v>8.4585182656196647E-2</v>
      </c>
      <c r="W13" s="15">
        <f t="shared" si="3"/>
        <v>0.10010991023997069</v>
      </c>
      <c r="X13" s="15">
        <f t="shared" si="3"/>
        <v>0.11634182908545727</v>
      </c>
      <c r="Y13" s="15">
        <f t="shared" si="3"/>
        <v>8.0478561343538674E-2</v>
      </c>
      <c r="Z13" s="15">
        <f t="shared" si="3"/>
        <v>9.0457477570994288E-2</v>
      </c>
      <c r="AF13" s="24">
        <f>Z28/Z72</f>
        <v>0.19763811592235644</v>
      </c>
      <c r="AG13" s="25">
        <f>Z28/Z54</f>
        <v>0.10606575688407557</v>
      </c>
      <c r="AH13" s="25">
        <f>Z22/(Z72+Z56+Z61)</f>
        <v>0.12439627753563436</v>
      </c>
      <c r="AI13" s="43">
        <f>Z67/Z72</f>
        <v>0.8633545993393964</v>
      </c>
    </row>
    <row r="14" spans="1:38" ht="19" x14ac:dyDescent="0.25">
      <c r="A14" s="5" t="s">
        <v>9</v>
      </c>
      <c r="B14" s="1">
        <v>6500000</v>
      </c>
      <c r="C14" s="1">
        <v>9700000</v>
      </c>
      <c r="D14" s="1">
        <v>15836000</v>
      </c>
      <c r="E14" s="1">
        <v>16371000</v>
      </c>
      <c r="F14" s="1" t="s">
        <v>91</v>
      </c>
      <c r="G14" s="1" t="s">
        <v>91</v>
      </c>
      <c r="H14" s="1" t="s">
        <v>91</v>
      </c>
      <c r="I14" s="1">
        <v>14158000</v>
      </c>
      <c r="J14" s="1" t="s">
        <v>91</v>
      </c>
      <c r="K14" s="1" t="s">
        <v>91</v>
      </c>
      <c r="L14" s="1" t="s">
        <v>91</v>
      </c>
      <c r="M14" s="1" t="s">
        <v>91</v>
      </c>
      <c r="N14" s="1">
        <v>-114000000</v>
      </c>
      <c r="O14" s="1" t="s">
        <v>91</v>
      </c>
      <c r="P14" s="1" t="s">
        <v>91</v>
      </c>
      <c r="Q14" s="1" t="s">
        <v>91</v>
      </c>
      <c r="R14" s="1" t="s">
        <v>91</v>
      </c>
      <c r="S14" s="1" t="s">
        <v>91</v>
      </c>
      <c r="T14" s="1" t="s">
        <v>91</v>
      </c>
      <c r="U14" s="1" t="s">
        <v>91</v>
      </c>
      <c r="V14" s="1" t="s">
        <v>91</v>
      </c>
      <c r="W14" s="1" t="s">
        <v>91</v>
      </c>
      <c r="X14" s="1" t="s">
        <v>91</v>
      </c>
      <c r="Y14" s="1" t="s">
        <v>91</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22" t="s">
        <v>120</v>
      </c>
      <c r="AG15" s="23" t="s">
        <v>153</v>
      </c>
      <c r="AH15" s="23" t="s">
        <v>154</v>
      </c>
      <c r="AI15" s="23" t="s">
        <v>155</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(Z35+Y35+X35+W35+V35)/5</f>
        <v>-1.5968067059461103E-3</v>
      </c>
      <c r="AG16" s="32">
        <f>AH102/Z3</f>
        <v>38.551742418625345</v>
      </c>
      <c r="AH16" s="32">
        <f>AH102/Z28</f>
        <v>238.07113095238094</v>
      </c>
      <c r="AI16" s="33">
        <f>AH102/Z107</f>
        <v>273.08159138655463</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22" t="s">
        <v>156</v>
      </c>
      <c r="AG18" s="23" t="s">
        <v>158</v>
      </c>
      <c r="AH18" s="23" t="s">
        <v>159</v>
      </c>
      <c r="AI18" s="23" t="s">
        <v>157</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A19" s="27">
        <v>28532000000</v>
      </c>
      <c r="AB19" s="27">
        <v>36217000000</v>
      </c>
      <c r="AC19" s="27">
        <v>35715000000</v>
      </c>
      <c r="AD19" s="27">
        <v>53164000000</v>
      </c>
      <c r="AE19" s="27">
        <v>62653000000</v>
      </c>
      <c r="AF19" s="26">
        <f>Z40-Z56-Z61</f>
        <v>1441000000</v>
      </c>
      <c r="AG19" s="32">
        <f>AH102/AA3</f>
        <v>19.186603073857452</v>
      </c>
      <c r="AH19" s="32">
        <f>AH102/AA28</f>
        <v>38.568900675024111</v>
      </c>
      <c r="AI19" s="34">
        <f>AH102/AA107</f>
        <v>42.517568893613543</v>
      </c>
    </row>
    <row r="20" spans="1:35" ht="19" customHeight="1" x14ac:dyDescent="0.25">
      <c r="A20" s="14" t="s">
        <v>100</v>
      </c>
      <c r="B20" s="1"/>
      <c r="C20" s="15">
        <f>(C19/B19)-1</f>
        <v>4.9909090909090912</v>
      </c>
      <c r="D20" s="15">
        <f>(D19/C19)-1</f>
        <v>1.4704097116843702</v>
      </c>
      <c r="E20" s="15">
        <f>(E19/D19)-1</f>
        <v>0.81969287469287466</v>
      </c>
      <c r="F20" s="15">
        <f t="shared" ref="F20:I20" si="4">(F19/E19)-1</f>
        <v>-0.29527149733667291</v>
      </c>
      <c r="G20" s="15">
        <f t="shared" si="4"/>
        <v>-0.18877920037552753</v>
      </c>
      <c r="H20" s="15">
        <f t="shared" si="4"/>
        <v>0.34648472788894735</v>
      </c>
      <c r="I20" s="15">
        <f t="shared" si="4"/>
        <v>1.0092702221520597</v>
      </c>
      <c r="J20" s="15">
        <f t="shared" ref="J20" si="5">(J19/I19)-1</f>
        <v>0.31547060441119346</v>
      </c>
      <c r="K20" s="15">
        <f t="shared" ref="K20" si="6">(K19/J19)-1</f>
        <v>0.71636642964034603</v>
      </c>
      <c r="L20" s="15">
        <f t="shared" ref="L20" si="7">(L19/K19)-1</f>
        <v>-0.86267330283325905</v>
      </c>
      <c r="M20" s="15">
        <f t="shared" ref="M20" si="8">(M19/L19)-1</f>
        <v>-0.17159971563113696</v>
      </c>
      <c r="N20" s="15">
        <f t="shared" ref="N20" si="9">(N19/M19)-1</f>
        <v>2.9194918854618064</v>
      </c>
      <c r="O20" s="15">
        <f t="shared" ref="O20" si="10">(O19/N19)-1</f>
        <v>0.88753156942020661</v>
      </c>
      <c r="P20" s="15">
        <f t="shared" ref="P20" si="11">(P19/O19)-1</f>
        <v>2.3978683572798642E-2</v>
      </c>
      <c r="Q20" s="15">
        <f t="shared" ref="Q20" si="12">(Q19/P19)-1</f>
        <v>-0.14774307736482239</v>
      </c>
      <c r="R20" s="15">
        <f t="shared" ref="R20" si="13">(R19/Q19)-1</f>
        <v>0.34381880515105046</v>
      </c>
      <c r="S20" s="15">
        <f t="shared" ref="S20" si="14">(S19/R19)-1</f>
        <v>-3.3389678129535527E-2</v>
      </c>
      <c r="T20" s="15">
        <f t="shared" ref="T20" si="15">(T19/S19)-1</f>
        <v>1.1783181357649442</v>
      </c>
      <c r="U20" s="15">
        <f t="shared" ref="U20" si="16">(U19/T19)-1</f>
        <v>0.60744186046511639</v>
      </c>
      <c r="V20" s="15">
        <f t="shared" ref="V20" si="17">(V19/U19)-1</f>
        <v>0.21990740740740744</v>
      </c>
      <c r="W20" s="15">
        <f t="shared" ref="W20" si="18">(W19/V19)-1</f>
        <v>-0.19283681214421255</v>
      </c>
      <c r="X20" s="15">
        <f t="shared" ref="X20" si="19">(X19/W19)-1</f>
        <v>0.67234792829856005</v>
      </c>
      <c r="Y20" s="15">
        <f t="shared" ref="Y20" si="20">(Y19/X19)-1</f>
        <v>0.99455280267088386</v>
      </c>
      <c r="Z20" s="15">
        <f t="shared" ref="Z20" si="21">(Z19/Y19)-1</f>
        <v>-0.43960884503567965</v>
      </c>
      <c r="AA20" s="16">
        <f t="shared" ref="AA20" si="22">(AA19/Z19)-1</f>
        <v>3.485458261279673</v>
      </c>
      <c r="AB20" s="16">
        <f t="shared" ref="AB20" si="23">(AB19/AA19)-1</f>
        <v>0.26934669844385262</v>
      </c>
      <c r="AC20" s="16">
        <f t="shared" ref="AC20" si="24">(AC19/AB19)-1</f>
        <v>-1.3860894055277906E-2</v>
      </c>
      <c r="AD20" s="16">
        <f t="shared" ref="AD20" si="25">(AD19/AC19)-1</f>
        <v>0.48856222875542499</v>
      </c>
      <c r="AE20" s="16">
        <f t="shared" ref="AE20" si="26">(AE19/AD19)-1</f>
        <v>0.17848544127605148</v>
      </c>
      <c r="AH20" s="15"/>
      <c r="AI20" s="15"/>
    </row>
    <row r="21" spans="1:35" ht="20"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c r="AA21" s="42">
        <f>AA19/AA3</f>
        <v>0.52643037694422401</v>
      </c>
      <c r="AB21" s="42">
        <f t="shared" ref="AB21:AE21" si="27">AB19/AB3</f>
        <v>0.48227602002769787</v>
      </c>
      <c r="AC21" s="42">
        <f t="shared" si="27"/>
        <v>0.39789438502673796</v>
      </c>
      <c r="AD21" s="42">
        <f t="shared" si="27"/>
        <v>0.50972195589645253</v>
      </c>
      <c r="AE21" s="42">
        <f t="shared" si="27"/>
        <v>0.53095762711864403</v>
      </c>
      <c r="AG21" s="44" t="s">
        <v>167</v>
      </c>
      <c r="AH21" s="22" t="s">
        <v>164</v>
      </c>
      <c r="AI21" s="23" t="s">
        <v>166</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c r="AA22" s="30"/>
      <c r="AB22" s="30"/>
      <c r="AC22" s="30"/>
      <c r="AD22" s="30"/>
      <c r="AE22" s="30"/>
      <c r="AG22" s="24">
        <f>SUM(AA29:AE29)/5</f>
        <v>1.2230418455038756</v>
      </c>
      <c r="AH22" s="68">
        <f>(-1*Z98)/AH102</f>
        <v>3.8273105921205294E-4</v>
      </c>
      <c r="AI22" s="36">
        <f>AA107/AH102</f>
        <v>2.3519689060825102E-2</v>
      </c>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c r="AA23" s="30"/>
      <c r="AB23" s="30"/>
      <c r="AC23" s="30"/>
      <c r="AD23" s="30"/>
      <c r="AE23" s="30"/>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c r="AA24" s="30"/>
      <c r="AB24" s="30"/>
      <c r="AC24" s="30"/>
      <c r="AD24" s="30"/>
      <c r="AE24" s="30"/>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c r="AA25" s="30"/>
      <c r="AB25" s="30"/>
      <c r="AC25" s="30"/>
      <c r="AD25" s="30"/>
      <c r="AE25" s="30"/>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c r="AA26" s="30"/>
      <c r="AB26" s="30"/>
      <c r="AC26" s="30"/>
      <c r="AD26" s="30"/>
      <c r="AE26" s="30"/>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c r="AA27" s="30"/>
      <c r="AB27" s="30"/>
      <c r="AC27" s="30"/>
      <c r="AD27" s="30"/>
      <c r="AE27" s="30"/>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c r="AA28" s="31">
        <v>26962000000</v>
      </c>
      <c r="AB28" s="31">
        <v>39837000000</v>
      </c>
      <c r="AC28" s="31">
        <v>46401000000</v>
      </c>
      <c r="AD28" s="31">
        <v>54892000000</v>
      </c>
      <c r="AE28" s="31">
        <v>61331000000</v>
      </c>
    </row>
    <row r="29" spans="1:35" ht="20" customHeight="1" thickTop="1" x14ac:dyDescent="0.25">
      <c r="A29" s="14" t="s">
        <v>102</v>
      </c>
      <c r="B29" s="1"/>
      <c r="C29" s="15">
        <f>(C28/B28)-1</f>
        <v>8.2926829268292686</v>
      </c>
      <c r="D29" s="15">
        <f>(D28/C28)-1</f>
        <v>1.6230183727034122</v>
      </c>
      <c r="E29" s="15">
        <f>(E28/D28)-1</f>
        <v>0.77035532385402794</v>
      </c>
      <c r="F29" s="15">
        <f t="shared" ref="F29:I29" si="28">(F28/E28)-1</f>
        <v>-0.48679093848206012</v>
      </c>
      <c r="G29" s="15">
        <f t="shared" si="28"/>
        <v>-0.18039846253813363</v>
      </c>
      <c r="H29" s="15">
        <f t="shared" si="28"/>
        <v>0.34852658595251218</v>
      </c>
      <c r="I29" s="15">
        <f t="shared" si="28"/>
        <v>2.0151261509027862</v>
      </c>
      <c r="J29" s="15">
        <f t="shared" ref="J29" si="29">(J28/I28)-1</f>
        <v>0.48332705412676069</v>
      </c>
      <c r="K29" s="15">
        <f t="shared" ref="K29" si="30">(K28/J28)-1</f>
        <v>0.77714923557484505</v>
      </c>
      <c r="L29" s="15">
        <f t="shared" ref="L29" si="31">(L28/K28)-1</f>
        <v>-1.0376621178594487</v>
      </c>
      <c r="M29" s="15">
        <f t="shared" ref="M29" si="32">(M28/L28)-1</f>
        <v>1.2631403748210777</v>
      </c>
      <c r="N29" s="15">
        <f t="shared" ref="N29" si="33">(N28/M28)-1</f>
        <v>-4.7234471295983056</v>
      </c>
      <c r="O29" s="15">
        <f t="shared" ref="O29" si="34">(O28/N28)-1</f>
        <v>1.2954737582264779</v>
      </c>
      <c r="P29" s="15">
        <f t="shared" ref="P29" si="35">(P28/O28)-1</f>
        <v>-3.1929649451892139E-2</v>
      </c>
      <c r="Q29" s="15">
        <f t="shared" ref="Q29" si="36">(Q28/P28)-1</f>
        <v>-0.2178456134362956</v>
      </c>
      <c r="R29" s="15">
        <f t="shared" ref="R29" si="37">(R28/Q28)-1</f>
        <v>0.43318484511011612</v>
      </c>
      <c r="S29" s="15">
        <f t="shared" ref="S29" si="38">(S28/R28)-1</f>
        <v>-2.6304062722510957E-2</v>
      </c>
      <c r="T29" s="15">
        <f t="shared" ref="T29" si="39">(T28/S28)-1</f>
        <v>1.7133550488599347</v>
      </c>
      <c r="U29" s="15">
        <f t="shared" ref="U29" si="40">(U28/T28)-1</f>
        <v>0.82893157262905159</v>
      </c>
      <c r="V29" s="15">
        <f t="shared" ref="V29" si="41">(V28/U28)-1</f>
        <v>0.35904168034131922</v>
      </c>
      <c r="W29" s="15">
        <f t="shared" ref="W29" si="42">(W28/V28)-1</f>
        <v>-0.3248007727602028</v>
      </c>
      <c r="X29" s="15">
        <f t="shared" ref="X29" si="43">(X28/W28)-1</f>
        <v>0.54935622317596566</v>
      </c>
      <c r="Y29" s="15">
        <f t="shared" ref="Y29" si="44">(Y28/X28)-1</f>
        <v>1.2511542012927053</v>
      </c>
      <c r="Z29" s="15">
        <f t="shared" ref="Z29" si="45">(Z28/Y28)-1</f>
        <v>-0.55209187858900743</v>
      </c>
      <c r="AA29" s="16">
        <f t="shared" ref="AA29" si="46">(AA28/Z28)-1</f>
        <v>5.1726190476190474</v>
      </c>
      <c r="AB29" s="16">
        <f t="shared" ref="AB29" si="47">(AB28/AA28)-1</f>
        <v>0.47752392255767373</v>
      </c>
      <c r="AC29" s="16">
        <f t="shared" ref="AC29" si="48">(AC28/AB28)-1</f>
        <v>0.1647714436328036</v>
      </c>
      <c r="AD29" s="16">
        <f t="shared" ref="AD29" si="49">(AD28/AC28)-1</f>
        <v>0.18299174586754585</v>
      </c>
      <c r="AE29" s="16">
        <f t="shared" ref="AE29" si="50">(AE28/AD28)-1</f>
        <v>0.11730306784230859</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c r="AA30" s="28">
        <f>AA28/AA3</f>
        <v>0.49746305282385284</v>
      </c>
      <c r="AB30" s="28">
        <f t="shared" ref="AB30:AE30" si="51">AB28/AB3</f>
        <v>0.53048098434004476</v>
      </c>
      <c r="AC30" s="28">
        <f t="shared" si="51"/>
        <v>0.51694518716577542</v>
      </c>
      <c r="AD30" s="28">
        <f t="shared" si="51"/>
        <v>0.52628954937679773</v>
      </c>
      <c r="AE30" s="28">
        <f t="shared" si="51"/>
        <v>0.51975423728813563</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c r="AA31" s="29">
        <v>10.92</v>
      </c>
      <c r="AB31" s="29">
        <v>16.13</v>
      </c>
      <c r="AC31" s="29">
        <v>18.79</v>
      </c>
      <c r="AD31" s="29">
        <v>22.22</v>
      </c>
      <c r="AE31" s="29">
        <v>24.83</v>
      </c>
    </row>
    <row r="32" spans="1:35" ht="19" x14ac:dyDescent="0.25">
      <c r="A32" s="5" t="s">
        <v>25</v>
      </c>
      <c r="B32" s="12" t="s">
        <v>90</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7"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c r="AA33" s="1" cm="1">
        <f t="array" ref="AA33">_FV(A1,"Shares outstanding",TRUE)</f>
        <v>2470000000</v>
      </c>
    </row>
    <row r="34" spans="1:27"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c r="AA34" s="1" cm="1">
        <f t="array" ref="AA34">_FV(A1,"Shares outstanding",TRUE)</f>
        <v>2470000000</v>
      </c>
    </row>
    <row r="35" spans="1:27" ht="20" customHeight="1" x14ac:dyDescent="0.25">
      <c r="A35" s="14" t="s">
        <v>104</v>
      </c>
      <c r="B35" s="1"/>
      <c r="C35" s="19">
        <f>(C34-B34)/B34</f>
        <v>0.31147483922291586</v>
      </c>
      <c r="D35" s="19">
        <f t="shared" ref="D35:I35" si="52">(D34-C34)/C34</f>
        <v>0.10795666072548654</v>
      </c>
      <c r="E35" s="19">
        <f t="shared" si="52"/>
        <v>7.3951310574355153E-2</v>
      </c>
      <c r="F35" s="19">
        <f t="shared" si="52"/>
        <v>-1.567157973310709E-2</v>
      </c>
      <c r="G35" s="19">
        <f t="shared" si="52"/>
        <v>2.5618641628257301E-2</v>
      </c>
      <c r="H35" s="19">
        <f t="shared" si="52"/>
        <v>2.229787947647504E-2</v>
      </c>
      <c r="I35" s="19">
        <f t="shared" si="52"/>
        <v>3.6209065804180866E-2</v>
      </c>
      <c r="J35" s="19">
        <f t="shared" ref="J35" si="53">(J34-I34)/I34</f>
        <v>6.996955446927651E-2</v>
      </c>
      <c r="K35" s="19">
        <f t="shared" ref="K35" si="54">(K34-J34)/J34</f>
        <v>3.3680993862574046E-2</v>
      </c>
      <c r="L35" s="19">
        <f t="shared" ref="L35" si="55">(L34-K34)/K34</f>
        <v>-9.6592894391592993E-2</v>
      </c>
      <c r="M35" s="19">
        <f t="shared" ref="M35" si="56">(M34-L34)/L34</f>
        <v>2.6417283617270484E-3</v>
      </c>
      <c r="N35" s="19">
        <f t="shared" ref="N35" si="57">(N34-M34)/M34</f>
        <v>7.1164210825111818E-2</v>
      </c>
      <c r="O35" s="19">
        <f t="shared" ref="O35" si="58">(O34-N34)/N34</f>
        <v>4.7032023972114069E-2</v>
      </c>
      <c r="P35" s="19">
        <f t="shared" ref="P35" si="59">(P34-O34)/O34</f>
        <v>1.3929922076152188E-2</v>
      </c>
      <c r="Q35" s="19">
        <f t="shared" ref="Q35" si="60">(Q34-P34)/P34</f>
        <v>-4.8707351065753322E-2</v>
      </c>
      <c r="R35" s="19">
        <f t="shared" ref="R35" si="61">(R34-Q34)/Q34</f>
        <v>-5.2898403241623031E-2</v>
      </c>
      <c r="S35" s="19">
        <f t="shared" ref="S35" si="62">(S34-R34)/R34</f>
        <v>1.0535139627895743E-2</v>
      </c>
      <c r="T35" s="19">
        <f t="shared" ref="T35" si="63">(T34-S34)/S34</f>
        <v>0.14059753954305801</v>
      </c>
      <c r="U35" s="19">
        <f t="shared" ref="U35" si="64">(U34-T34)/T34</f>
        <v>-2.6194144838212634E-2</v>
      </c>
      <c r="V35" s="19">
        <f t="shared" ref="V35" si="65">(V34-U34)/U34</f>
        <v>-1.1075949367088608E-2</v>
      </c>
      <c r="W35" s="19">
        <f t="shared" ref="W35" si="66">(W34-V34)/V34</f>
        <v>-1.12E-2</v>
      </c>
      <c r="X35" s="19">
        <f t="shared" ref="X35" si="67">(X34-W34)/W34</f>
        <v>1.6181229773462782E-2</v>
      </c>
      <c r="Y35" s="19">
        <f t="shared" ref="Y35" si="68">(Y34-X34)/X34</f>
        <v>9.1560509554140124E-3</v>
      </c>
      <c r="Z35" s="19">
        <f t="shared" ref="Z35:AA35" si="69">(Z34-Y34)/Y34</f>
        <v>-1.1045364891518738E-2</v>
      </c>
      <c r="AA35" s="19">
        <f t="shared" si="69"/>
        <v>-1.4758675708017551E-2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7"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v>3389000000</v>
      </c>
    </row>
    <row r="39" spans="1:27" ht="19" x14ac:dyDescent="0.25">
      <c r="A39" s="5" t="s">
        <v>31</v>
      </c>
      <c r="B39" s="1" t="s">
        <v>91</v>
      </c>
      <c r="C39" s="1" t="s">
        <v>91</v>
      </c>
      <c r="D39" s="1" t="s">
        <v>91</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v>9907000000</v>
      </c>
    </row>
    <row r="40" spans="1:27"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7"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7"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7"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7"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7"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7" ht="19" x14ac:dyDescent="0.25">
      <c r="A46" s="5" t="s">
        <v>38</v>
      </c>
      <c r="B46" s="1" t="s">
        <v>91</v>
      </c>
      <c r="C46" s="1" t="s">
        <v>91</v>
      </c>
      <c r="D46" s="1">
        <v>24000000</v>
      </c>
      <c r="E46" s="1">
        <v>50000000</v>
      </c>
      <c r="F46" s="1" t="s">
        <v>91</v>
      </c>
      <c r="G46" s="1" t="s">
        <v>91</v>
      </c>
      <c r="H46" s="1" t="s">
        <v>91</v>
      </c>
      <c r="I46" s="1" t="s">
        <v>91</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7" ht="19" x14ac:dyDescent="0.25">
      <c r="A47" s="5" t="s">
        <v>39</v>
      </c>
      <c r="B47" s="1" t="s">
        <v>91</v>
      </c>
      <c r="C47" s="1" t="s">
        <v>91</v>
      </c>
      <c r="D47" s="1" t="s">
        <v>91</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7" ht="19" x14ac:dyDescent="0.25">
      <c r="A48" s="5" t="s">
        <v>40</v>
      </c>
      <c r="B48" s="1" t="s">
        <v>91</v>
      </c>
      <c r="C48" s="1" t="s">
        <v>91</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v>6630000</v>
      </c>
      <c r="N49" s="1">
        <v>8792000</v>
      </c>
      <c r="O49" s="1">
        <v>10382000</v>
      </c>
      <c r="P49" s="1">
        <v>10030000</v>
      </c>
      <c r="Q49" s="1" t="s">
        <v>91</v>
      </c>
      <c r="R49" s="1" t="s">
        <v>91</v>
      </c>
      <c r="S49" s="1" t="s">
        <v>91</v>
      </c>
      <c r="T49" s="1" t="s">
        <v>91</v>
      </c>
      <c r="U49" s="1" t="s">
        <v>91</v>
      </c>
      <c r="V49" s="1" t="s">
        <v>91</v>
      </c>
      <c r="W49" s="1" t="s">
        <v>91</v>
      </c>
      <c r="X49" s="1">
        <v>144000000</v>
      </c>
      <c r="Y49" s="1">
        <v>266000000</v>
      </c>
      <c r="Z49" s="1" t="s">
        <v>91</v>
      </c>
    </row>
    <row r="50" spans="1:26" ht="19" x14ac:dyDescent="0.25">
      <c r="A50" s="5" t="s">
        <v>42</v>
      </c>
      <c r="B50" s="1" t="s">
        <v>91</v>
      </c>
      <c r="C50" s="1" t="s">
        <v>91</v>
      </c>
      <c r="D50" s="1" t="s">
        <v>91</v>
      </c>
      <c r="E50" s="1" t="s">
        <v>91</v>
      </c>
      <c r="F50" s="1">
        <v>43317000</v>
      </c>
      <c r="G50" s="1" t="s">
        <v>91</v>
      </c>
      <c r="H50" s="1" t="s">
        <v>91</v>
      </c>
      <c r="I50" s="1" t="s">
        <v>91</v>
      </c>
      <c r="J50" s="1">
        <v>7380000</v>
      </c>
      <c r="K50" s="1" t="s">
        <v>91</v>
      </c>
      <c r="L50" s="1" t="s">
        <v>91</v>
      </c>
      <c r="M50" s="1" t="s">
        <v>91</v>
      </c>
      <c r="N50" s="1" t="s">
        <v>91</v>
      </c>
      <c r="O50" s="1">
        <v>7459000</v>
      </c>
      <c r="P50" s="1">
        <v>3527000</v>
      </c>
      <c r="Q50" s="1" t="s">
        <v>91</v>
      </c>
      <c r="R50" s="1" t="s">
        <v>91</v>
      </c>
      <c r="S50" s="1" t="s">
        <v>91</v>
      </c>
      <c r="T50" s="1" t="s">
        <v>91</v>
      </c>
      <c r="U50" s="1" t="s">
        <v>91</v>
      </c>
      <c r="V50" s="1" t="s">
        <v>91</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91</v>
      </c>
      <c r="D56" s="1" t="s">
        <v>91</v>
      </c>
      <c r="E56" s="1" t="s">
        <v>91</v>
      </c>
      <c r="F56" s="1">
        <v>5676000</v>
      </c>
      <c r="G56" s="1">
        <v>4015000</v>
      </c>
      <c r="H56" s="1">
        <v>856000</v>
      </c>
      <c r="I56" s="1" t="s">
        <v>91</v>
      </c>
      <c r="J56" s="1" t="s">
        <v>91</v>
      </c>
      <c r="K56" s="1" t="s">
        <v>91</v>
      </c>
      <c r="L56" s="1" t="s">
        <v>91</v>
      </c>
      <c r="M56" s="1" t="s">
        <v>91</v>
      </c>
      <c r="N56" s="1" t="s">
        <v>91</v>
      </c>
      <c r="O56" s="1" t="s">
        <v>91</v>
      </c>
      <c r="P56" s="1" t="s">
        <v>91</v>
      </c>
      <c r="Q56" s="1" t="s">
        <v>91</v>
      </c>
      <c r="R56" s="1" t="s">
        <v>91</v>
      </c>
      <c r="S56" s="1">
        <v>1500000000</v>
      </c>
      <c r="T56" s="1">
        <v>827000000</v>
      </c>
      <c r="U56" s="1">
        <v>15000000</v>
      </c>
      <c r="V56" s="1" t="s">
        <v>91</v>
      </c>
      <c r="W56" s="1">
        <v>91000000</v>
      </c>
      <c r="X56" s="1">
        <v>1120000000</v>
      </c>
      <c r="Y56" s="1" t="s">
        <v>91</v>
      </c>
      <c r="Z56" s="1">
        <v>1250000000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4576000</v>
      </c>
      <c r="O57" s="1">
        <v>6941000</v>
      </c>
      <c r="P57" s="1">
        <v>3173000</v>
      </c>
      <c r="Q57" s="1">
        <v>2378000</v>
      </c>
      <c r="R57" s="1">
        <v>2810000</v>
      </c>
      <c r="S57" s="1">
        <v>2000000</v>
      </c>
      <c r="T57" s="1">
        <v>4000000</v>
      </c>
      <c r="U57" s="1">
        <v>33000000</v>
      </c>
      <c r="V57" s="1">
        <v>91000000</v>
      </c>
      <c r="W57" s="1">
        <v>61000000</v>
      </c>
      <c r="X57" s="1">
        <v>61000000</v>
      </c>
      <c r="Y57" s="1" t="s">
        <v>91</v>
      </c>
      <c r="Z57" s="1" t="s">
        <v>91</v>
      </c>
    </row>
    <row r="58" spans="1:26" ht="19" x14ac:dyDescent="0.25">
      <c r="A58" s="5" t="s">
        <v>50</v>
      </c>
      <c r="B58" s="1" t="s">
        <v>91</v>
      </c>
      <c r="C58" s="1" t="s">
        <v>91</v>
      </c>
      <c r="D58" s="1" t="s">
        <v>91</v>
      </c>
      <c r="E58" s="1">
        <v>70193000</v>
      </c>
      <c r="F58" s="1" t="s">
        <v>91</v>
      </c>
      <c r="G58" s="1" t="s">
        <v>91</v>
      </c>
      <c r="H58" s="1">
        <v>11500000</v>
      </c>
      <c r="I58" s="1" t="s">
        <v>91</v>
      </c>
      <c r="J58" s="1">
        <v>1180000</v>
      </c>
      <c r="K58" s="1">
        <v>5856000</v>
      </c>
      <c r="L58" s="1" t="s">
        <v>91</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91</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91</v>
      </c>
      <c r="I61" s="1" t="s">
        <v>91</v>
      </c>
      <c r="J61" s="1" t="s">
        <v>91</v>
      </c>
      <c r="K61" s="1" t="s">
        <v>91</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91</v>
      </c>
    </row>
    <row r="63" spans="1:26" ht="19" x14ac:dyDescent="0.25">
      <c r="A63" s="5" t="s">
        <v>54</v>
      </c>
      <c r="B63" s="1" t="s">
        <v>91</v>
      </c>
      <c r="C63" s="1" t="s">
        <v>91</v>
      </c>
      <c r="D63" s="1" t="s">
        <v>91</v>
      </c>
      <c r="E63" s="1" t="s">
        <v>91</v>
      </c>
      <c r="F63" s="1" t="s">
        <v>91</v>
      </c>
      <c r="G63" s="1">
        <v>8609000</v>
      </c>
      <c r="H63" s="1">
        <v>20754000</v>
      </c>
      <c r="I63" s="1">
        <v>8260000</v>
      </c>
      <c r="J63" s="1" t="s">
        <v>91</v>
      </c>
      <c r="K63" s="1">
        <v>86900000</v>
      </c>
      <c r="L63" s="1" t="s">
        <v>91</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91</v>
      </c>
    </row>
    <row r="64" spans="1:26" ht="19" x14ac:dyDescent="0.25">
      <c r="A64" s="5" t="s">
        <v>55</v>
      </c>
      <c r="B64" s="1" t="s">
        <v>91</v>
      </c>
      <c r="C64" s="1">
        <v>1000000</v>
      </c>
      <c r="D64" s="1">
        <v>1000000</v>
      </c>
      <c r="E64" s="1" t="s">
        <v>91</v>
      </c>
      <c r="F64" s="1" t="s">
        <v>91</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91</v>
      </c>
      <c r="C68" s="1" t="s">
        <v>91</v>
      </c>
      <c r="D68" s="1" t="s">
        <v>91</v>
      </c>
      <c r="E68" s="1" t="s">
        <v>91</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91</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91</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91</v>
      </c>
      <c r="C78" s="1" t="s">
        <v>91</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91</v>
      </c>
      <c r="D79" s="1" t="s">
        <v>91</v>
      </c>
      <c r="E79" s="1" t="s">
        <v>91</v>
      </c>
      <c r="F79" s="1" t="s">
        <v>91</v>
      </c>
      <c r="G79" s="1" t="s">
        <v>91</v>
      </c>
      <c r="H79" s="1" t="s">
        <v>91</v>
      </c>
      <c r="I79" s="1" t="s">
        <v>91</v>
      </c>
      <c r="J79" s="1" t="s">
        <v>91</v>
      </c>
      <c r="K79" s="1" t="s">
        <v>91</v>
      </c>
      <c r="L79" s="1" t="s">
        <v>91</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106</v>
      </c>
      <c r="B80" s="15">
        <f t="shared" ref="B80:Z80" si="70">B79/B3</f>
        <v>0</v>
      </c>
      <c r="C80" s="15" t="e">
        <f t="shared" si="70"/>
        <v>#VALUE!</v>
      </c>
      <c r="D80" s="15" t="e">
        <f t="shared" si="70"/>
        <v>#VALUE!</v>
      </c>
      <c r="E80" s="15" t="e">
        <f t="shared" si="70"/>
        <v>#VALUE!</v>
      </c>
      <c r="F80" s="15" t="e">
        <f t="shared" si="70"/>
        <v>#VALUE!</v>
      </c>
      <c r="G80" s="15" t="e">
        <f t="shared" si="70"/>
        <v>#VALUE!</v>
      </c>
      <c r="H80" s="15" t="e">
        <f t="shared" si="70"/>
        <v>#VALUE!</v>
      </c>
      <c r="I80" s="15" t="e">
        <f t="shared" si="70"/>
        <v>#VALUE!</v>
      </c>
      <c r="J80" s="15" t="e">
        <f t="shared" si="70"/>
        <v>#VALUE!</v>
      </c>
      <c r="K80" s="15" t="e">
        <f t="shared" si="70"/>
        <v>#VALUE!</v>
      </c>
      <c r="L80" s="15" t="e">
        <f t="shared" si="70"/>
        <v>#VALUE!</v>
      </c>
      <c r="M80" s="15">
        <f t="shared" si="70"/>
        <v>7.2998651713766502E-2</v>
      </c>
      <c r="N80" s="15">
        <f t="shared" si="70"/>
        <v>2.8321831372877724E-2</v>
      </c>
      <c r="O80" s="15">
        <f t="shared" si="70"/>
        <v>3.4106149932590119E-2</v>
      </c>
      <c r="P80" s="15">
        <f t="shared" si="70"/>
        <v>3.1929187677373669E-2</v>
      </c>
      <c r="Q80" s="15">
        <f t="shared" si="70"/>
        <v>3.2999916226046339E-2</v>
      </c>
      <c r="R80" s="15">
        <f t="shared" si="70"/>
        <v>3.3715852608999626E-2</v>
      </c>
      <c r="S80" s="15">
        <f t="shared" si="70"/>
        <v>4.0718562874251497E-2</v>
      </c>
      <c r="T80" s="15">
        <f t="shared" si="70"/>
        <v>3.5745296671490595E-2</v>
      </c>
      <c r="U80" s="15">
        <f t="shared" si="70"/>
        <v>4.0251183858348777E-2</v>
      </c>
      <c r="V80" s="15">
        <f t="shared" si="70"/>
        <v>4.7541823147832021E-2</v>
      </c>
      <c r="W80" s="15">
        <f t="shared" si="70"/>
        <v>7.7303535446052396E-2</v>
      </c>
      <c r="X80" s="15">
        <f t="shared" si="70"/>
        <v>8.3778110944527737E-2</v>
      </c>
      <c r="Y80" s="15">
        <f t="shared" si="70"/>
        <v>7.4459389165490081E-2</v>
      </c>
      <c r="Z80" s="15">
        <f t="shared" si="70"/>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19"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91</v>
      </c>
      <c r="V83" s="1">
        <v>-776000000</v>
      </c>
      <c r="W83" s="1">
        <v>597000000</v>
      </c>
      <c r="X83" s="1">
        <v>-524000000</v>
      </c>
      <c r="Y83" s="1">
        <v>-774000000</v>
      </c>
      <c r="Z83" s="1">
        <v>-2554000000</v>
      </c>
    </row>
    <row r="84" spans="1:34"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77" t="s">
        <v>121</v>
      </c>
      <c r="AH84" s="78"/>
    </row>
    <row r="85" spans="1:34" ht="19" customHeight="1" x14ac:dyDescent="0.25">
      <c r="A85" s="5" t="s">
        <v>71</v>
      </c>
      <c r="B85" s="1" t="s">
        <v>91</v>
      </c>
      <c r="C85" s="1" t="s">
        <v>91</v>
      </c>
      <c r="D85" s="1" t="s">
        <v>91</v>
      </c>
      <c r="E85" s="1" t="s">
        <v>91</v>
      </c>
      <c r="F85" s="1" t="s">
        <v>91</v>
      </c>
      <c r="G85" s="1" t="s">
        <v>91</v>
      </c>
      <c r="H85" s="1" t="s">
        <v>91</v>
      </c>
      <c r="I85" s="1" t="s">
        <v>91</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91</v>
      </c>
      <c r="Z85" s="1" t="s">
        <v>91</v>
      </c>
      <c r="AG85" s="76" t="s">
        <v>122</v>
      </c>
      <c r="AH85" s="76"/>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91</v>
      </c>
      <c r="AG86" s="37" t="s">
        <v>101</v>
      </c>
      <c r="AH86" s="59">
        <f>Z17</f>
        <v>262000000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37" t="s">
        <v>123</v>
      </c>
      <c r="AH87" s="59">
        <f>Z56</f>
        <v>1250000000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37" t="s">
        <v>124</v>
      </c>
      <c r="AH88" s="59">
        <f>Z61</f>
        <v>10605000000</v>
      </c>
    </row>
    <row r="89" spans="1:34" ht="20" customHeight="1" x14ac:dyDescent="0.25">
      <c r="A89" s="14" t="s">
        <v>107</v>
      </c>
      <c r="B89" s="15">
        <f t="shared" ref="B89:Z89" si="71">(-1*B88)/B3</f>
        <v>5.2179656538969617E-2</v>
      </c>
      <c r="C89" s="15">
        <f t="shared" si="71"/>
        <v>3.0974632843791722E-2</v>
      </c>
      <c r="D89" s="15">
        <f t="shared" si="71"/>
        <v>4.9409463811637723E-2</v>
      </c>
      <c r="E89" s="15">
        <f t="shared" si="71"/>
        <v>0.11761840886006349</v>
      </c>
      <c r="F89" s="15">
        <f t="shared" si="71"/>
        <v>3.3058262418386053E-2</v>
      </c>
      <c r="G89" s="15">
        <f t="shared" si="71"/>
        <v>6.999882058975998E-2</v>
      </c>
      <c r="H89" s="15">
        <f t="shared" si="71"/>
        <v>3.3462634693062251E-2</v>
      </c>
      <c r="I89" s="15">
        <f t="shared" si="71"/>
        <v>3.3506097394143251E-2</v>
      </c>
      <c r="J89" s="15">
        <f t="shared" si="71"/>
        <v>4.7333606841305526E-2</v>
      </c>
      <c r="K89" s="15">
        <f t="shared" si="71"/>
        <v>4.581537680643067E-2</v>
      </c>
      <c r="L89" s="15">
        <f t="shared" si="71"/>
        <v>0.11903263754799832</v>
      </c>
      <c r="M89" s="15">
        <f t="shared" si="71"/>
        <v>2.332850836253117E-2</v>
      </c>
      <c r="N89" s="15">
        <f t="shared" si="71"/>
        <v>2.7626718414905389E-2</v>
      </c>
      <c r="O89" s="15">
        <f t="shared" si="71"/>
        <v>3.4701708133959321E-2</v>
      </c>
      <c r="P89" s="15">
        <f t="shared" si="71"/>
        <v>4.2827614581607831E-2</v>
      </c>
      <c r="Q89" s="15">
        <f t="shared" si="71"/>
        <v>6.1785954158698857E-2</v>
      </c>
      <c r="R89" s="15">
        <f t="shared" si="71"/>
        <v>2.6141368580672848E-2</v>
      </c>
      <c r="S89" s="15">
        <f t="shared" si="71"/>
        <v>1.716566866267465E-2</v>
      </c>
      <c r="T89" s="15">
        <f t="shared" si="71"/>
        <v>2.5470332850940667E-2</v>
      </c>
      <c r="U89" s="15">
        <f t="shared" si="71"/>
        <v>6.1045913115091617E-2</v>
      </c>
      <c r="V89" s="15">
        <f t="shared" si="71"/>
        <v>5.1212017753499491E-2</v>
      </c>
      <c r="W89" s="15">
        <f t="shared" si="71"/>
        <v>4.478842278805642E-2</v>
      </c>
      <c r="X89" s="15">
        <f t="shared" si="71"/>
        <v>6.7646176911544231E-2</v>
      </c>
      <c r="Y89" s="15">
        <f t="shared" si="71"/>
        <v>3.6263654603552055E-2</v>
      </c>
      <c r="Z89" s="15">
        <f t="shared" si="71"/>
        <v>6.7954326388373995E-2</v>
      </c>
      <c r="AG89" s="38" t="s">
        <v>125</v>
      </c>
      <c r="AH89" s="60">
        <f>AH86/(AH87+AH88)</f>
        <v>2.210037958667229E-2</v>
      </c>
    </row>
    <row r="90" spans="1:34" ht="20" x14ac:dyDescent="0.25">
      <c r="A90" s="5" t="s">
        <v>75</v>
      </c>
      <c r="B90" s="1" t="s">
        <v>91</v>
      </c>
      <c r="C90" s="1" t="s">
        <v>91</v>
      </c>
      <c r="D90" s="1" t="s">
        <v>91</v>
      </c>
      <c r="E90" s="1" t="s">
        <v>91</v>
      </c>
      <c r="F90" s="1">
        <v>-3901000</v>
      </c>
      <c r="G90" s="1">
        <v>-71303000</v>
      </c>
      <c r="H90" s="1" t="s">
        <v>91</v>
      </c>
      <c r="I90" s="1">
        <v>-12131000</v>
      </c>
      <c r="J90" s="1">
        <v>-401800000</v>
      </c>
      <c r="K90" s="1">
        <v>-75542000</v>
      </c>
      <c r="L90" s="1">
        <v>-27948000</v>
      </c>
      <c r="M90" s="1" t="s">
        <v>91</v>
      </c>
      <c r="N90" s="1" t="s">
        <v>91</v>
      </c>
      <c r="O90" s="1">
        <v>-348884000</v>
      </c>
      <c r="P90" s="1" t="s">
        <v>91</v>
      </c>
      <c r="Q90" s="1">
        <v>-17145000</v>
      </c>
      <c r="R90" s="1" t="s">
        <v>91</v>
      </c>
      <c r="S90" s="1" t="s">
        <v>91</v>
      </c>
      <c r="T90" s="1" t="s">
        <v>91</v>
      </c>
      <c r="U90" s="1" t="s">
        <v>91</v>
      </c>
      <c r="V90" s="1" t="s">
        <v>91</v>
      </c>
      <c r="W90" s="1" t="s">
        <v>91</v>
      </c>
      <c r="X90" s="1">
        <v>-8524000000</v>
      </c>
      <c r="Y90" s="1">
        <v>-263000000</v>
      </c>
      <c r="Z90" s="1">
        <v>-49000000</v>
      </c>
      <c r="AG90" s="37" t="s">
        <v>126</v>
      </c>
      <c r="AH90" s="59">
        <f>Z27</f>
        <v>187000000</v>
      </c>
    </row>
    <row r="91" spans="1:34" ht="20" x14ac:dyDescent="0.25">
      <c r="A91" s="5" t="s">
        <v>76</v>
      </c>
      <c r="B91" s="1" t="s">
        <v>91</v>
      </c>
      <c r="C91" s="1" t="s">
        <v>91</v>
      </c>
      <c r="D91" s="1" t="s">
        <v>91</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37" t="s">
        <v>19</v>
      </c>
      <c r="AH91" s="59">
        <f>Z25</f>
        <v>4181000000</v>
      </c>
    </row>
    <row r="92" spans="1:34" ht="20" x14ac:dyDescent="0.25">
      <c r="A92" s="5" t="s">
        <v>77</v>
      </c>
      <c r="B92" s="1" t="s">
        <v>91</v>
      </c>
      <c r="C92" s="1" t="s">
        <v>91</v>
      </c>
      <c r="D92" s="1" t="s">
        <v>91</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38" t="s">
        <v>127</v>
      </c>
      <c r="AH92" s="60">
        <f>AH90/AH91</f>
        <v>4.4726142071274816E-2</v>
      </c>
    </row>
    <row r="93" spans="1:34" ht="19" customHeight="1" x14ac:dyDescent="0.25">
      <c r="A93" s="5" t="s">
        <v>78</v>
      </c>
      <c r="B93" s="1" t="s">
        <v>91</v>
      </c>
      <c r="C93" s="1" t="s">
        <v>91</v>
      </c>
      <c r="D93" s="1">
        <v>-24500000</v>
      </c>
      <c r="E93" s="1">
        <v>17500000</v>
      </c>
      <c r="F93" s="1">
        <v>7000000</v>
      </c>
      <c r="G93" s="1" t="s">
        <v>91</v>
      </c>
      <c r="H93" s="1" t="s">
        <v>91</v>
      </c>
      <c r="I93" s="1">
        <v>-9684000</v>
      </c>
      <c r="J93" s="1" t="s">
        <v>91</v>
      </c>
      <c r="K93" s="1" t="s">
        <v>91</v>
      </c>
      <c r="L93" s="1">
        <v>-442000</v>
      </c>
      <c r="M93" s="1">
        <v>-218000</v>
      </c>
      <c r="N93" s="1">
        <v>-2163000</v>
      </c>
      <c r="O93" s="1">
        <v>-1590000</v>
      </c>
      <c r="P93" s="1">
        <v>352000</v>
      </c>
      <c r="Q93" s="1">
        <v>19831000</v>
      </c>
      <c r="R93" s="1">
        <v>20362000</v>
      </c>
      <c r="S93" s="1">
        <v>25000000</v>
      </c>
      <c r="T93" s="1">
        <v>2000000</v>
      </c>
      <c r="U93" s="1">
        <v>2000000</v>
      </c>
      <c r="V93" s="1" t="s">
        <v>91</v>
      </c>
      <c r="W93" s="1" t="s">
        <v>91</v>
      </c>
      <c r="X93" s="1" t="s">
        <v>91</v>
      </c>
      <c r="Y93" s="1" t="s">
        <v>91</v>
      </c>
      <c r="Z93" s="1">
        <v>-77000000</v>
      </c>
      <c r="AG93" s="38" t="s">
        <v>128</v>
      </c>
      <c r="AH93" s="60">
        <f>AH89*(1-AH92)</f>
        <v>2.1111914869449685E-2</v>
      </c>
    </row>
    <row r="94" spans="1:34" ht="19" customHeight="1"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76" t="s">
        <v>129</v>
      </c>
      <c r="AH94" s="76"/>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-11927000</v>
      </c>
      <c r="P95" s="1">
        <v>-2049000</v>
      </c>
      <c r="Q95" s="1">
        <v>-2239000</v>
      </c>
      <c r="R95" s="1">
        <v>-2917000</v>
      </c>
      <c r="S95" s="1">
        <v>-3000000</v>
      </c>
      <c r="T95" s="1">
        <v>-673000000</v>
      </c>
      <c r="U95" s="1">
        <v>-812000000</v>
      </c>
      <c r="V95" s="1">
        <v>-16000000</v>
      </c>
      <c r="W95" s="1" t="s">
        <v>91</v>
      </c>
      <c r="X95" s="1" t="s">
        <v>91</v>
      </c>
      <c r="Y95" s="1">
        <v>-1000000000</v>
      </c>
      <c r="Z95" s="1" t="s">
        <v>91</v>
      </c>
      <c r="AG95" s="37" t="s">
        <v>103</v>
      </c>
      <c r="AH95" s="71">
        <f>'[1]US Treasury Bonds'!$C$8</f>
        <v>4.9020000000000001E-2</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91</v>
      </c>
      <c r="P96" s="1" t="s">
        <v>91</v>
      </c>
      <c r="Q96" s="1" t="s">
        <v>91</v>
      </c>
      <c r="R96" s="1" t="s">
        <v>91</v>
      </c>
      <c r="S96" s="1" t="s">
        <v>91</v>
      </c>
      <c r="T96" s="1" t="s">
        <v>91</v>
      </c>
      <c r="U96" s="1" t="s">
        <v>91</v>
      </c>
      <c r="V96" s="1" t="s">
        <v>91</v>
      </c>
      <c r="W96" s="1" t="s">
        <v>91</v>
      </c>
      <c r="X96" s="1" t="s">
        <v>91</v>
      </c>
      <c r="Y96" s="1" t="s">
        <v>91</v>
      </c>
      <c r="Z96" s="1" t="s">
        <v>91</v>
      </c>
      <c r="AG96" s="37" t="s">
        <v>130</v>
      </c>
      <c r="AH96" s="62" cm="1">
        <f t="array" ref="AH96">_FV(A1,"Beta")</f>
        <v>1.6849000000000001</v>
      </c>
    </row>
    <row r="97" spans="1:34" ht="20" x14ac:dyDescent="0.25">
      <c r="A97" s="5" t="s">
        <v>82</v>
      </c>
      <c r="B97" s="1" t="s">
        <v>91</v>
      </c>
      <c r="C97" s="1" t="s">
        <v>91</v>
      </c>
      <c r="D97" s="1" t="s">
        <v>91</v>
      </c>
      <c r="E97" s="1" t="s">
        <v>91</v>
      </c>
      <c r="F97" s="1" t="s">
        <v>91</v>
      </c>
      <c r="G97" s="1" t="s">
        <v>91</v>
      </c>
      <c r="H97" s="1">
        <v>-24644000</v>
      </c>
      <c r="I97" s="1">
        <v>-188509000</v>
      </c>
      <c r="J97" s="1">
        <v>-274978000</v>
      </c>
      <c r="K97" s="1">
        <v>-552512000</v>
      </c>
      <c r="L97" s="1">
        <v>-423636000</v>
      </c>
      <c r="M97" s="1" t="s">
        <v>91</v>
      </c>
      <c r="N97" s="1" t="s">
        <v>91</v>
      </c>
      <c r="O97" s="1" t="s">
        <v>91</v>
      </c>
      <c r="P97" s="1">
        <v>-100000000</v>
      </c>
      <c r="Q97" s="1">
        <v>-887304000</v>
      </c>
      <c r="R97" s="1">
        <v>-813600000</v>
      </c>
      <c r="S97" s="1">
        <v>-587000000</v>
      </c>
      <c r="T97" s="1">
        <v>-739000000</v>
      </c>
      <c r="U97" s="1">
        <v>-909000000</v>
      </c>
      <c r="V97" s="1">
        <v>-1579000000</v>
      </c>
      <c r="W97" s="1" t="s">
        <v>91</v>
      </c>
      <c r="X97" s="1" t="s">
        <v>91</v>
      </c>
      <c r="Y97" s="1" t="s">
        <v>91</v>
      </c>
      <c r="Z97" s="1">
        <v>-10039000000</v>
      </c>
      <c r="AG97" s="37" t="s">
        <v>131</v>
      </c>
      <c r="AH97" s="61">
        <v>8.4000000000000005E-2</v>
      </c>
    </row>
    <row r="98" spans="1:34"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-46866000</v>
      </c>
      <c r="Q98" s="1">
        <v>-181336000</v>
      </c>
      <c r="R98" s="1">
        <v>-186452000</v>
      </c>
      <c r="S98" s="1">
        <v>-213000000</v>
      </c>
      <c r="T98" s="1">
        <v>-261000000</v>
      </c>
      <c r="U98" s="1">
        <v>-341000000</v>
      </c>
      <c r="V98" s="1">
        <v>-371000000</v>
      </c>
      <c r="W98" s="1">
        <v>-390000000</v>
      </c>
      <c r="X98" s="1">
        <v>-395000000</v>
      </c>
      <c r="Y98" s="1">
        <v>-399000000</v>
      </c>
      <c r="Z98" s="1">
        <v>-398000000</v>
      </c>
      <c r="AG98" s="38" t="s">
        <v>132</v>
      </c>
      <c r="AH98" s="60">
        <f>(AH95)+((AH96)*(AH97-AH95))</f>
        <v>0.10795780200000002</v>
      </c>
    </row>
    <row r="99" spans="1:34" ht="19" customHeight="1"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76" t="s">
        <v>133</v>
      </c>
      <c r="AH99" s="76"/>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37" t="s">
        <v>134</v>
      </c>
      <c r="AH100" s="59">
        <f>AH87+AH88</f>
        <v>11855000000</v>
      </c>
    </row>
    <row r="101" spans="1:3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G101" s="38" t="s">
        <v>105</v>
      </c>
      <c r="AH101" s="60">
        <f>AH100/AH104</f>
        <v>1.1271693255534088E-2</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37" t="s">
        <v>135</v>
      </c>
      <c r="AH102" s="53" cm="1">
        <f t="array" ref="AH102">_FV(A1,"Market cap",TRUE)</f>
        <v>1039894700000</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38" t="s">
        <v>136</v>
      </c>
      <c r="AH103" s="60">
        <f>AH102/AH104</f>
        <v>0.98872830674446588</v>
      </c>
    </row>
    <row r="104" spans="1:34" ht="20" customHeight="1" thickBot="1" x14ac:dyDescent="0.3">
      <c r="A104" s="7" t="s">
        <v>89</v>
      </c>
      <c r="B104" s="11" t="s">
        <v>91</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A104" s="79" t="s">
        <v>115</v>
      </c>
      <c r="AB104" s="79"/>
      <c r="AC104" s="79"/>
      <c r="AD104" s="79"/>
      <c r="AE104" s="79"/>
      <c r="AF104" s="45"/>
      <c r="AG104" s="38" t="s">
        <v>137</v>
      </c>
      <c r="AH104" s="63">
        <f>AH100+AH102</f>
        <v>1051749700000</v>
      </c>
    </row>
    <row r="105" spans="1:34" ht="21" customHeight="1" thickTop="1" x14ac:dyDescent="0.25">
      <c r="A105" s="14" t="s">
        <v>160</v>
      </c>
      <c r="B105" s="1">
        <f t="shared" ref="B105:Z105" si="72">(B22*(1-$AH$92))+B77+B88+B81</f>
        <v>-16197129.873236068</v>
      </c>
      <c r="C105" s="1">
        <f t="shared" si="72"/>
        <v>7566897.8713226542</v>
      </c>
      <c r="D105" s="1">
        <f t="shared" si="72"/>
        <v>19194586.223391533</v>
      </c>
      <c r="E105" s="1">
        <f t="shared" si="72"/>
        <v>14899260.224826574</v>
      </c>
      <c r="F105" s="1">
        <f t="shared" si="72"/>
        <v>168041061.70772544</v>
      </c>
      <c r="G105" s="1">
        <f t="shared" si="72"/>
        <v>-139559374.79071993</v>
      </c>
      <c r="H105" s="1">
        <f t="shared" si="72"/>
        <v>48737423.343697667</v>
      </c>
      <c r="I105" s="1">
        <f t="shared" si="72"/>
        <v>363395773.25998569</v>
      </c>
      <c r="J105" s="1">
        <f t="shared" si="72"/>
        <v>262606841.42549634</v>
      </c>
      <c r="K105" s="1">
        <f t="shared" si="72"/>
        <v>914335469.98325765</v>
      </c>
      <c r="L105" s="1">
        <f t="shared" si="72"/>
        <v>-323517861.75556087</v>
      </c>
      <c r="M105" s="1">
        <f t="shared" si="72"/>
        <v>160958428.12724227</v>
      </c>
      <c r="N105" s="1">
        <f t="shared" si="72"/>
        <v>485106423.34369767</v>
      </c>
      <c r="O105" s="1">
        <f t="shared" si="72"/>
        <v>686922086.8213346</v>
      </c>
      <c r="P105" s="1">
        <f t="shared" si="72"/>
        <v>549849770.38985896</v>
      </c>
      <c r="Q105" s="1">
        <f t="shared" si="72"/>
        <v>470231680.69839752</v>
      </c>
      <c r="R105" s="1">
        <f t="shared" si="72"/>
        <v>620259350.15546525</v>
      </c>
      <c r="S105" s="1">
        <f t="shared" si="72"/>
        <v>773589571.87275779</v>
      </c>
      <c r="T105" s="1">
        <f t="shared" si="72"/>
        <v>1179499641.2341545</v>
      </c>
      <c r="U105" s="1">
        <f t="shared" si="72"/>
        <v>2857429083.9512081</v>
      </c>
      <c r="V105" s="1">
        <f t="shared" si="72"/>
        <v>2438861755.5608706</v>
      </c>
      <c r="W105" s="1">
        <f t="shared" si="72"/>
        <v>3327709399.6651521</v>
      </c>
      <c r="X105" s="1">
        <f t="shared" si="72"/>
        <v>3596301124.1329823</v>
      </c>
      <c r="Y105" s="1">
        <f t="shared" si="72"/>
        <v>6426904807.4623299</v>
      </c>
      <c r="Z105" s="1">
        <f t="shared" si="72"/>
        <v>2930076775.8909359</v>
      </c>
      <c r="AA105" s="72">
        <f>AA107/AA3</f>
        <v>0.45126293843059834</v>
      </c>
      <c r="AB105" s="72">
        <f>AB107/AB3</f>
        <v>0.51752423564504102</v>
      </c>
      <c r="AC105" s="72">
        <f>AC107/AC3</f>
        <v>0.51408199643493757</v>
      </c>
      <c r="AD105" s="72">
        <f>AD107/AD3</f>
        <v>0.4703547459252157</v>
      </c>
      <c r="AE105" s="72">
        <f>AE107/AE3</f>
        <v>0.64703389830508473</v>
      </c>
      <c r="AF105" s="73" t="s">
        <v>165</v>
      </c>
      <c r="AG105" s="76" t="s">
        <v>138</v>
      </c>
      <c r="AH105" s="76"/>
    </row>
    <row r="106" spans="1:34" ht="20" x14ac:dyDescent="0.25">
      <c r="A106" s="14" t="s">
        <v>161</v>
      </c>
      <c r="B106" s="1"/>
      <c r="C106" s="15">
        <f t="shared" ref="C106:Z106" si="73">(C107/B107)-1</f>
        <v>-1.4387755102040816</v>
      </c>
      <c r="D106" s="15">
        <f t="shared" si="73"/>
        <v>6.344186046511628</v>
      </c>
      <c r="E106" s="15">
        <f t="shared" si="73"/>
        <v>-1.0085180493983534</v>
      </c>
      <c r="F106" s="15">
        <f t="shared" si="73"/>
        <v>-751.59107806691452</v>
      </c>
      <c r="G106" s="15">
        <f t="shared" si="73"/>
        <v>-1.3859461440549952</v>
      </c>
      <c r="H106" s="15">
        <f t="shared" si="73"/>
        <v>-1.8333418884582811</v>
      </c>
      <c r="I106" s="15">
        <f t="shared" si="73"/>
        <v>4.6485009008454083</v>
      </c>
      <c r="J106" s="15">
        <f t="shared" si="73"/>
        <v>0.20459477437787621</v>
      </c>
      <c r="K106" s="15">
        <f t="shared" si="73"/>
        <v>1.449787826323115</v>
      </c>
      <c r="L106" s="15">
        <f t="shared" si="73"/>
        <v>-1.1462514238519803</v>
      </c>
      <c r="M106" s="15">
        <f t="shared" si="73"/>
        <v>-3.5911565914976946</v>
      </c>
      <c r="N106" s="15">
        <f t="shared" si="73"/>
        <v>0.40882142143215838</v>
      </c>
      <c r="O106" s="15">
        <f t="shared" si="73"/>
        <v>0.33312280349606427</v>
      </c>
      <c r="P106" s="15">
        <f t="shared" si="73"/>
        <v>-0.16816519798915142</v>
      </c>
      <c r="Q106" s="15">
        <f t="shared" si="73"/>
        <v>-9.5032791719915188E-2</v>
      </c>
      <c r="R106" s="15">
        <f t="shared" si="73"/>
        <v>0.35056728050210362</v>
      </c>
      <c r="S106" s="15">
        <f t="shared" si="73"/>
        <v>0.39031630015001118</v>
      </c>
      <c r="T106" s="15">
        <f t="shared" si="73"/>
        <v>0.3737373737373737</v>
      </c>
      <c r="U106" s="15">
        <f t="shared" si="73"/>
        <v>0.94451871657754016</v>
      </c>
      <c r="V106" s="15">
        <f t="shared" si="73"/>
        <v>8.0440013750429751E-2</v>
      </c>
      <c r="W106" s="15">
        <f t="shared" si="73"/>
        <v>0.35921094495704731</v>
      </c>
      <c r="X106" s="15">
        <f t="shared" si="73"/>
        <v>9.878277153558046E-2</v>
      </c>
      <c r="Y106" s="15">
        <f t="shared" si="73"/>
        <v>0.73242437153813378</v>
      </c>
      <c r="Z106" s="15">
        <f t="shared" si="73"/>
        <v>-0.53172651254303982</v>
      </c>
      <c r="AA106" s="47">
        <f>(AA107/Z107)-1</f>
        <v>5.4227941176470589</v>
      </c>
      <c r="AB106" s="47">
        <f>(AB107/AA107)-1</f>
        <v>0.58900973096737275</v>
      </c>
      <c r="AC106" s="47">
        <f>(AC107/AB107)-1</f>
        <v>0.18731988472622474</v>
      </c>
      <c r="AD106" s="47">
        <f>(AD107/AC107)-1</f>
        <v>6.3150138696255187E-2</v>
      </c>
      <c r="AE106" s="47">
        <f>(AE107/AD107)-1</f>
        <v>0.5563210893228423</v>
      </c>
      <c r="AF106" s="48">
        <f>SUM(AA106:AE106)/5</f>
        <v>1.3637189922719506</v>
      </c>
      <c r="AG106" s="39" t="s">
        <v>139</v>
      </c>
      <c r="AH106" s="64">
        <f>(AH101*AH93)+(AH103*AH98)</f>
        <v>0.10697890179975972</v>
      </c>
    </row>
    <row r="107" spans="1:34" ht="20" customHeight="1" x14ac:dyDescent="0.25">
      <c r="A107" s="35" t="s">
        <v>162</v>
      </c>
      <c r="B107" s="1">
        <v>-9800000</v>
      </c>
      <c r="C107" s="1">
        <v>4300000</v>
      </c>
      <c r="D107" s="1">
        <v>31580000</v>
      </c>
      <c r="E107" s="1">
        <v>-269000</v>
      </c>
      <c r="F107" s="1">
        <v>201909000</v>
      </c>
      <c r="G107" s="1">
        <v>-77926000</v>
      </c>
      <c r="H107" s="1">
        <v>64939000</v>
      </c>
      <c r="I107" s="1">
        <v>366808000</v>
      </c>
      <c r="J107" s="1">
        <v>441855000</v>
      </c>
      <c r="K107" s="1">
        <v>1082451000</v>
      </c>
      <c r="L107" s="1">
        <v>-158310000</v>
      </c>
      <c r="M107" s="1">
        <v>410206000</v>
      </c>
      <c r="N107" s="1">
        <v>577907000</v>
      </c>
      <c r="O107" s="1">
        <v>770421000</v>
      </c>
      <c r="P107" s="1">
        <v>640863000</v>
      </c>
      <c r="Q107" s="1">
        <v>579960000</v>
      </c>
      <c r="R107" s="1">
        <v>783275000</v>
      </c>
      <c r="S107" s="1">
        <v>1089000000</v>
      </c>
      <c r="T107" s="1">
        <v>1496000000</v>
      </c>
      <c r="U107" s="1">
        <v>2909000000</v>
      </c>
      <c r="V107" s="1">
        <v>3143000000</v>
      </c>
      <c r="W107" s="1">
        <v>4272000000</v>
      </c>
      <c r="X107" s="1">
        <v>4694000000</v>
      </c>
      <c r="Y107" s="1">
        <v>8132000000</v>
      </c>
      <c r="Z107" s="1">
        <v>3808000000</v>
      </c>
      <c r="AA107" s="49">
        <v>24458000000</v>
      </c>
      <c r="AB107" s="49">
        <v>38864000000</v>
      </c>
      <c r="AC107" s="49">
        <v>46144000000</v>
      </c>
      <c r="AD107" s="49">
        <v>49058000000</v>
      </c>
      <c r="AE107" s="49">
        <v>76350000000</v>
      </c>
      <c r="AF107" s="46" t="s">
        <v>163</v>
      </c>
      <c r="AG107" s="65" t="s">
        <v>140</v>
      </c>
      <c r="AH107" s="40">
        <f>(SUM(AA4:AE4)/5)</f>
        <v>0.37669506446653639</v>
      </c>
    </row>
    <row r="108" spans="1:34" ht="19" x14ac:dyDescent="0.2">
      <c r="AA108" s="74"/>
      <c r="AB108" s="74"/>
      <c r="AC108" s="74"/>
      <c r="AD108" s="74"/>
      <c r="AE108" s="50">
        <f>AE107*(1+AH108)/(AH109-AH108)</f>
        <v>954620619231.43958</v>
      </c>
      <c r="AF108" s="51" t="s">
        <v>141</v>
      </c>
      <c r="AG108" s="66" t="s">
        <v>142</v>
      </c>
      <c r="AH108" s="41">
        <v>2.5000000000000001E-2</v>
      </c>
    </row>
    <row r="109" spans="1:34" ht="19" x14ac:dyDescent="0.2">
      <c r="AA109" s="50">
        <f t="shared" ref="AA109:AD109" si="74">AA108+AA107</f>
        <v>24458000000</v>
      </c>
      <c r="AB109" s="50">
        <f t="shared" si="74"/>
        <v>38864000000</v>
      </c>
      <c r="AC109" s="50">
        <f t="shared" si="74"/>
        <v>46144000000</v>
      </c>
      <c r="AD109" s="50">
        <f t="shared" si="74"/>
        <v>49058000000</v>
      </c>
      <c r="AE109" s="50">
        <f>AE108+AE107</f>
        <v>1030970619231.4396</v>
      </c>
      <c r="AF109" s="51" t="s">
        <v>137</v>
      </c>
      <c r="AG109" s="67" t="s">
        <v>143</v>
      </c>
      <c r="AH109" s="40">
        <f>AH106</f>
        <v>0.10697890179975972</v>
      </c>
    </row>
    <row r="110" spans="1:34" ht="19" x14ac:dyDescent="0.2">
      <c r="AA110" s="75" t="s">
        <v>144</v>
      </c>
      <c r="AB110" s="75"/>
      <c r="AC110" s="45"/>
      <c r="AD110" s="45"/>
      <c r="AE110" s="45"/>
      <c r="AF110" s="45"/>
    </row>
    <row r="111" spans="1:34" ht="20" x14ac:dyDescent="0.2">
      <c r="AA111" s="52" t="s">
        <v>145</v>
      </c>
      <c r="AB111" s="53">
        <f>NPV(AH109,AA109,AB109,AC109,AD109,AE109)</f>
        <v>740722444688.9646</v>
      </c>
      <c r="AC111" s="45"/>
      <c r="AD111" s="45"/>
      <c r="AE111" s="45"/>
      <c r="AF111" s="45"/>
    </row>
    <row r="112" spans="1:34" ht="20" x14ac:dyDescent="0.2">
      <c r="AA112" s="52" t="s">
        <v>146</v>
      </c>
      <c r="AB112" s="53">
        <f>Z40</f>
        <v>13296000000</v>
      </c>
      <c r="AC112" s="45"/>
      <c r="AD112" s="45"/>
      <c r="AE112" s="45"/>
      <c r="AF112" s="45"/>
    </row>
    <row r="113" spans="27:32" ht="20" x14ac:dyDescent="0.2">
      <c r="AA113" s="52" t="s">
        <v>134</v>
      </c>
      <c r="AB113" s="53">
        <f>AH100</f>
        <v>11855000000</v>
      </c>
      <c r="AC113" s="45"/>
      <c r="AD113" s="45"/>
      <c r="AE113" s="45"/>
      <c r="AF113" s="45"/>
    </row>
    <row r="114" spans="27:32" ht="20" x14ac:dyDescent="0.2">
      <c r="AA114" s="52" t="s">
        <v>147</v>
      </c>
      <c r="AB114" s="53">
        <f>AB111+AB112-AB113</f>
        <v>742163444688.9646</v>
      </c>
      <c r="AC114" s="45"/>
      <c r="AD114" s="45"/>
      <c r="AE114" s="45"/>
      <c r="AF114" s="45"/>
    </row>
    <row r="115" spans="27:32" ht="20" x14ac:dyDescent="0.2">
      <c r="AA115" s="52" t="s">
        <v>148</v>
      </c>
      <c r="AB115" s="52">
        <f>Z34*(1+(5*AF16))</f>
        <v>2486984027.9409657</v>
      </c>
      <c r="AC115" s="45"/>
      <c r="AD115" s="45"/>
      <c r="AE115" s="45"/>
      <c r="AF115" s="45"/>
    </row>
    <row r="116" spans="27:32" ht="20" x14ac:dyDescent="0.2">
      <c r="AA116" s="54" t="s">
        <v>149</v>
      </c>
      <c r="AB116" s="55">
        <f>AB114/AB115</f>
        <v>298.41906355282055</v>
      </c>
      <c r="AC116" s="45"/>
      <c r="AD116" s="45"/>
      <c r="AE116" s="45"/>
      <c r="AF116" s="45"/>
    </row>
    <row r="117" spans="27:32" ht="20" x14ac:dyDescent="0.2">
      <c r="AA117" s="52" t="s">
        <v>150</v>
      </c>
      <c r="AB117" s="56" cm="1">
        <f t="array" ref="AB117">_FV(A1,"Price")</f>
        <v>421.01</v>
      </c>
      <c r="AC117" s="45"/>
      <c r="AD117" s="45"/>
      <c r="AE117" s="45"/>
      <c r="AF117" s="45"/>
    </row>
    <row r="118" spans="27:32" ht="20" x14ac:dyDescent="0.2">
      <c r="AA118" s="54" t="s">
        <v>151</v>
      </c>
      <c r="AB118" s="57">
        <f>AB116/AB117-1</f>
        <v>-0.29118295633638025</v>
      </c>
      <c r="AC118" s="45"/>
      <c r="AD118" s="45"/>
      <c r="AE118" s="45"/>
      <c r="AF118" s="45"/>
    </row>
    <row r="119" spans="27:32" ht="20" x14ac:dyDescent="0.2">
      <c r="AA119" s="54" t="s">
        <v>152</v>
      </c>
      <c r="AB119" s="58" t="str">
        <f>IF(AB116&gt;AB117,"BUY","SELL")</f>
        <v>SELL</v>
      </c>
      <c r="AC119" s="45"/>
      <c r="AD119" s="45"/>
      <c r="AE119" s="45"/>
      <c r="AF119" s="45"/>
    </row>
  </sheetData>
  <mergeCells count="7">
    <mergeCell ref="AA110:AB110"/>
    <mergeCell ref="AG105:AH105"/>
    <mergeCell ref="AG99:AH99"/>
    <mergeCell ref="AG84:AH84"/>
    <mergeCell ref="AG94:AH94"/>
    <mergeCell ref="AG85:AH85"/>
    <mergeCell ref="AA104:AE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 ref="AF107" r:id="rId53" xr:uid="{455E61A6-7595-BF44-83CA-5135D6E59FBA}"/>
  </hyperlinks>
  <pageMargins left="0.7" right="0.7" top="0.75" bottom="0.75" header="0.3" footer="0.3"/>
  <pageSetup orientation="portrait" horizontalDpi="0" verticalDpi="0"/>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2023-02-23T10:20:03Z</dcterms:created>
  <dcterms:modified xsi:type="dcterms:W3CDTF">2023-10-20T04:20:14Z</dcterms:modified>
</cp:coreProperties>
</file>