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070D1FA2-D8A9-2143-8AF2-B3505CD5EB6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5" i="1" l="1"/>
  <c r="AE105" i="1"/>
  <c r="AD105" i="1"/>
  <c r="AC105" i="1"/>
  <c r="AB105" i="1"/>
  <c r="AJ7" i="1"/>
  <c r="AI7" i="1"/>
  <c r="AH7" i="1"/>
  <c r="AB34" i="1" a="1"/>
  <c r="AB34" i="1" s="1"/>
  <c r="AB35" i="1" s="1"/>
  <c r="AB33" i="1" a="1"/>
  <c r="AB33" i="1" s="1"/>
  <c r="AF107" i="1" l="1"/>
  <c r="AE107" i="1"/>
  <c r="AD107" i="1"/>
  <c r="AC107" i="1"/>
  <c r="AB107" i="1"/>
  <c r="AB106" i="1" s="1"/>
  <c r="AB31" i="1"/>
  <c r="AF28" i="1"/>
  <c r="AF31" i="1" s="1"/>
  <c r="AE28" i="1"/>
  <c r="AE31" i="1" s="1"/>
  <c r="AD28" i="1"/>
  <c r="AD31" i="1" s="1"/>
  <c r="AC28" i="1"/>
  <c r="AC31" i="1" s="1"/>
  <c r="AB28" i="1"/>
  <c r="AB29" i="1" s="1"/>
  <c r="AF19" i="1"/>
  <c r="AE19" i="1"/>
  <c r="AE21" i="1"/>
  <c r="AD19" i="1"/>
  <c r="AD21" i="1" s="1"/>
  <c r="AC19" i="1"/>
  <c r="AB19" i="1"/>
  <c r="AF3" i="1"/>
  <c r="AE3" i="1"/>
  <c r="AD3" i="1"/>
  <c r="AC3" i="1"/>
  <c r="AB3" i="1"/>
  <c r="AB30" i="1" s="1"/>
  <c r="AC106" i="1" l="1"/>
  <c r="AD30" i="1"/>
  <c r="AC21" i="1"/>
  <c r="AC30" i="1"/>
  <c r="AD106" i="1"/>
  <c r="AE29" i="1"/>
  <c r="AE106" i="1"/>
  <c r="AF106" i="1"/>
  <c r="AF21" i="1"/>
  <c r="AF30" i="1"/>
  <c r="AF29" i="1"/>
  <c r="AE30" i="1"/>
  <c r="AC29" i="1"/>
  <c r="AD29" i="1"/>
  <c r="AB21" i="1"/>
  <c r="AF20" i="1"/>
  <c r="AD20" i="1"/>
  <c r="AC20" i="1"/>
  <c r="AB20" i="1"/>
  <c r="AE20" i="1"/>
  <c r="AC117" i="1" a="1"/>
  <c r="AC117" i="1" s="1"/>
  <c r="AI96" i="1" a="1"/>
  <c r="AI96" i="1" s="1"/>
  <c r="AI102" i="1" a="1"/>
  <c r="AI102" i="1" s="1"/>
  <c r="AJ22" i="1" s="1"/>
  <c r="AC112" i="1"/>
  <c r="AI91" i="1"/>
  <c r="AI90" i="1"/>
  <c r="AI88" i="1"/>
  <c r="AI87" i="1"/>
  <c r="AI86" i="1"/>
  <c r="AI89" i="1" s="1"/>
  <c r="AG19" i="1"/>
  <c r="AJ13" i="1"/>
  <c r="AI13" i="1"/>
  <c r="AH13" i="1"/>
  <c r="AG13" i="1"/>
  <c r="AG7" i="1"/>
  <c r="AF4" i="1"/>
  <c r="AE4" i="1"/>
  <c r="AD4" i="1"/>
  <c r="AC4" i="1"/>
  <c r="AB4" i="1"/>
  <c r="AA9" i="1"/>
  <c r="AG10" i="1" s="1"/>
  <c r="AA13" i="1"/>
  <c r="AH10" i="1" s="1"/>
  <c r="AA20" i="1"/>
  <c r="AA29" i="1"/>
  <c r="AA35" i="1"/>
  <c r="AA80" i="1"/>
  <c r="AI10" i="1" s="1"/>
  <c r="AA89" i="1"/>
  <c r="AJ10" i="1" s="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0" i="1" l="1"/>
  <c r="AI92" i="1"/>
  <c r="O105" i="1" s="1"/>
  <c r="AH22" i="1"/>
  <c r="AG106" i="1"/>
  <c r="AG4" i="1"/>
  <c r="AG16" i="1"/>
  <c r="AC115" i="1" s="1"/>
  <c r="AI4" i="1"/>
  <c r="AH4" i="1"/>
  <c r="AJ4" i="1"/>
  <c r="M105" i="1"/>
  <c r="U105" i="1"/>
  <c r="F105" i="1"/>
  <c r="N105" i="1"/>
  <c r="V105" i="1"/>
  <c r="G105" i="1"/>
  <c r="P105" i="1"/>
  <c r="J105" i="1"/>
  <c r="Z105" i="1"/>
  <c r="D105" i="1"/>
  <c r="H105" i="1"/>
  <c r="Q105" i="1"/>
  <c r="Y105" i="1"/>
  <c r="R105" i="1"/>
  <c r="L105" i="1"/>
  <c r="T105" i="1"/>
  <c r="B105" i="1"/>
  <c r="K105" i="1"/>
  <c r="AA105" i="1"/>
  <c r="AJ103" i="1"/>
  <c r="AJ19" i="1"/>
  <c r="AI19" i="1"/>
  <c r="AI22" i="1"/>
  <c r="AH19" i="1"/>
  <c r="AI107" i="1"/>
  <c r="AJ16" i="1"/>
  <c r="AI16" i="1"/>
  <c r="AH16" i="1"/>
  <c r="AC109" i="1"/>
  <c r="AI104" i="1"/>
  <c r="AI103" i="1" s="1"/>
  <c r="AC113" i="1"/>
  <c r="AB109" i="1"/>
  <c r="AI93" i="1" l="1"/>
  <c r="S105" i="1"/>
  <c r="X105" i="1"/>
  <c r="W105" i="1"/>
  <c r="E105" i="1"/>
  <c r="C105" i="1"/>
  <c r="I105" i="1"/>
  <c r="AD109" i="1"/>
  <c r="AI101" i="1"/>
  <c r="AE109" i="1" l="1"/>
  <c r="AI98" i="1" l="1"/>
  <c r="AI106" i="1" s="1"/>
  <c r="AI109" i="1" s="1"/>
  <c r="AF108" i="1" s="1"/>
  <c r="AF109" i="1" s="1"/>
  <c r="AC111" i="1" s="1"/>
  <c r="AC114" i="1" s="1"/>
  <c r="AC116" i="1" s="1"/>
  <c r="AC118" i="1" l="1"/>
  <c r="AC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<sst xmlns="http://schemas.openxmlformats.org/spreadsheetml/2006/main" count="671" uniqueCount="171">
  <si>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</si>
  <si>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</si>
  <si>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</si>
  <si>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</si>
  <si>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</si>
  <si>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</si>
  <si>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</si>
  <si>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</si>
  <si>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</si>
  <si>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</si>
  <si>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</si>
  <si>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</si>
  <si>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</si>
  <si>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</si>
  <si>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</si>
  <si>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</si>
  <si>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</si>
  <si>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</si>
  <si>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</si>
  <si>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</si>
  <si>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</si>
  <si>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</si>
  <si>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</si>
  <si>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</si>
  <si>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</si>
  <si>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</si>
  <si>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</si>
  <si>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</si>
  <si>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</si>
  <si>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</si>
  <si>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</si>
  <si>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</si>
  <si>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</si>
  <si>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</si>
  <si>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</si>
  <si>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</si>
  <si>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</si>
  <si>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</si>
  <si>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</si>
  <si>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</si>
  <si>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</si>
  <si>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</si>
  <si>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</si>
  <si>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</si>
  <si>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</si>
  <si>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</si>
  <si>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</si>
  <si>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</si>
  <si>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</si>
  <si>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</si>
  <si>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</si>
  <si>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</si>
  <si>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</si>
  <si>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</si>
  <si>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</si>
  <si>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</si>
  <si>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</si>
  <si>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</si>
  <si>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</si>
  <si>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</si>
  <si>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</si>
  <si>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</si>
  <si>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</si>
  <si>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</si>
  <si>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</si>
  <si>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</si>
  <si>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</si>
  <si>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</si>
  <si>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</si>
  <si>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</si>
  <si>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</si>
  <si>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</si>
  <si>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</si>
  <si>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</si>
  <si>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</si>
  <si>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</si>
  <si>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</si>
  <si>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</si>
  <si>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</si>
  <si>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</si>
  <si>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</si>
  <si>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</si>
  <si>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</si>
  <si>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</si>
  <si>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</si>
  <si>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</si>
  <si>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</si>
  <si>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</si>
  <si>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</si>
  <si>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</si>
  <si>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</si>
  <si>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</si>
  <si>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</si>
  <si>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</si>
  <si>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</si>
  <si>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</si>
  <si>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</si>
  <si>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</si>
  <si>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</si>
  <si>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</si>
  <si>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</si>
  <si>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</si>
  <si>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</si>
  <si>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</si>
  <si>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</si>
  <si>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</si>
  <si>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</si>
  <si>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</si>
  <si>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</si>
  <si>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</si>
  <si>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</si>
  <si>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</si>
  <si>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</si>
  <si>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</si>
  <si>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</si>
  <si>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</si>
  <si>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</si>
  <si>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</si>
  <si>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</si>
  <si>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</si>
  <si>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</si>
  <si>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</si>
  <si>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</si>
  <si>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</si>
  <si>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</si>
  <si>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</si>
  <si>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</si>
  <si>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</si>
  <si>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</si>
  <si>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</si>
  <si>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</si>
  <si>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</si>
  <si>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</si>
  <si>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</si>
  <si>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</si>
  <si>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</si>
  <si>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</si>
  <si>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</si>
  <si>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</si>
  <si>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</si>
  <si>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</si>
  <si>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</si>
  <si>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</si>
  <si>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</si>
  <si>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</si>
  <si>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</si>
  <si>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</si>
  <si>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</si>
  <si>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</si>
  <si>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</si>
  <si>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</si>
  <si>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</si>
  <si>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</si>
  <si>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</si>
  <si>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</si>
  <si>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</si>
  <si>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USD to TWD</t>
  </si>
  <si>
    <t>Market Cap (USD)</t>
  </si>
  <si>
    <t>Current Price (USD)</t>
  </si>
  <si>
    <t>Intrinsic Value (USD)</t>
  </si>
  <si>
    <t>Unlevered FCF Forecast</t>
  </si>
  <si>
    <t>Unlevered FCF</t>
  </si>
  <si>
    <t>Levered FCF</t>
  </si>
  <si>
    <t>Forward P/S</t>
  </si>
  <si>
    <t>Forward P/E</t>
  </si>
  <si>
    <t>Forward P/FCF</t>
  </si>
  <si>
    <t>Dividend Yield</t>
  </si>
  <si>
    <t>5Y Fwd FCF CAGR</t>
  </si>
  <si>
    <t>Forward FCF Yield</t>
  </si>
  <si>
    <t>5Y Fwd Income CAGR</t>
  </si>
  <si>
    <t>Taiwan Treasury 10Y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</si>
</sst>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 fillId="7" borderId="0" xfId="0" applyFont="1" applyFill="1"/>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0" fontId="1" fillId="0" borderId="0" xfId="0" applyFont="1" applyAlignment="1">
      <alignment indent="1"/>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1" fillId="0" borderId="0" xfId="0" applyNumberFormat="1" applyFont="1"/>
    <xf numFmtId="9" fontId="11" fillId="0" borderId="0" xfId="0" applyNumberFormat="1" applyFont="1"/>
    <xf numFmtId="0" fontId="12" fillId="6" borderId="0" xfId="0" applyFont="1" applyFill="1" applyAlignment="1">
      <alignment horizontal="center" vertical="center" wrapText="1"/>
    </xf>
    <xf numFmtId="0" fontId="12" fillId="0" borderId="0" xfId="0" applyFont="1" applyAlignment="1">
      <alignment horizontal="center" vertical="center" wrapText="1"/>
    </xf>
    <xf numFmtId="0" fontId="17" fillId="3" borderId="6" xfId="0" applyFont="1" applyFill="1" applyBorder="1" applyAlignment="1">
      <alignment horizontal="center" vertical="center" wrapText="1"/>
    </xf>
    <xf numFmtId="10" fontId="11" fillId="0" borderId="5" xfId="0" applyNumberFormat="1" applyFont="1" applyBorder="1" applyAlignment="1">
      <alignment horizont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7" borderId="0" xfId="0" applyNumberFormat="1" applyFont="1" applyFill="1" applyAlignment="1">
      <alignment vertical="center"/>
    </xf>
    <xf numFmtId="10" fontId="11" fillId="4" borderId="0" xfId="0" applyNumberFormat="1" applyFont="1" applyFill="1" applyAlignment="1">
      <alignment vertical="center"/>
    </xf>
    <xf numFmtId="164" fontId="1" fillId="7" borderId="0" xfId="0" applyNumberFormat="1" applyFont="1" applyFill="1" applyAlignment="1">
      <alignment vertical="center"/>
    </xf>
    <xf numFmtId="0" fontId="0" fillId="7" borderId="0" xfId="0" applyFill="1" applyAlignment="1">
      <alignment vertical="center"/>
    </xf>
    <xf numFmtId="164" fontId="12" fillId="4" borderId="0" xfId="0" applyNumberFormat="1" applyFont="1" applyFill="1" applyAlignment="1">
      <alignment vertical="center"/>
    </xf>
    <xf numFmtId="9" fontId="1" fillId="8" borderId="0" xfId="0" applyNumberFormat="1" applyFont="1" applyFill="1" applyAlignment="1">
      <alignment vertical="center"/>
    </xf>
    <xf numFmtId="10" fontId="12" fillId="5" borderId="0" xfId="0" applyNumberFormat="1" applyFont="1" applyFill="1" applyAlignment="1">
      <alignment vertical="center"/>
    </xf>
    <xf numFmtId="164" fontId="10" fillId="8" borderId="0" xfId="0" applyNumberFormat="1" applyFont="1" applyFill="1" applyAlignment="1">
      <alignment vertical="center"/>
    </xf>
    <xf numFmtId="9" fontId="16" fillId="7" borderId="0" xfId="0" applyNumberFormat="1" applyFont="1" applyFill="1" applyAlignment="1">
      <alignment vertical="center" wrapText="1"/>
    </xf>
    <xf numFmtId="164" fontId="1" fillId="8" borderId="0" xfId="0" applyNumberFormat="1" applyFont="1" applyFill="1" applyAlignment="1">
      <alignment vertical="center"/>
    </xf>
    <xf numFmtId="0" fontId="0" fillId="7" borderId="0" xfId="0" applyFill="1" applyAlignment="1">
      <alignment horizontal="left" vertical="center"/>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 fillId="8" borderId="0" xfId="0" applyNumberFormat="1" applyFont="1" applyFill="1" applyAlignment="1">
      <alignment horizontal="center" vertical="center"/>
    </xf>
    <xf numFmtId="0" fontId="13" fillId="3" borderId="7" xfId="0" applyFont="1" applyFill="1" applyBorder="1" applyAlignment="1">
      <alignment horizontal="center" vertical="center" wrapText="1"/>
    </xf>
    <xf numFmtId="10" fontId="11" fillId="7" borderId="0" xfId="0" applyNumberFormat="1" applyFont="1" applyFill="1"/>
    <xf numFmtId="165" fontId="10" fillId="7" borderId="0" xfId="0" applyNumberFormat="1" applyFont="1" applyFill="1" applyAlignment="1">
      <alignment vertical="center"/>
    </xf>
    <xf numFmtId="0" fontId="0" fillId="7" borderId="0" xfId="0" applyFill="1" applyAlignment="1">
      <alignment horizontal="center" vertical="center"/>
    </xf>
    <xf numFmtId="0" fontId="0" fillId="8"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Taiwan Semiconductor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57954315116551"/>
          <c:y val="0.13337662066702535"/>
          <c:w val="0.82347849588108413"/>
          <c:h val="0.63250170651988591"/>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1'!$B$3:$AF$3</c:f>
              <c:numCache>
                <c:formatCode>#,###,,;\(#,###,,\);\ \-\ \-</c:formatCode>
                <c:ptCount val="31"/>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pt idx="26">
                  <c:v>2095060606060.606</c:v>
                </c:pt>
                <c:pt idx="27">
                  <c:v>2550636363636.3633</c:v>
                </c:pt>
                <c:pt idx="28">
                  <c:v>2953969696969.6968</c:v>
                </c:pt>
                <c:pt idx="29">
                  <c:v>3121212121212.1211</c:v>
                </c:pt>
                <c:pt idx="30">
                  <c:v>3436363636363.6362</c:v>
                </c:pt>
              </c:numCache>
            </c:numRef>
          </c:val>
          <c:extLst>
            <c:ext xmlns:c16="http://schemas.microsoft.com/office/drawing/2014/chart" uri="{C3380CC4-5D6E-409C-BE32-E72D297353CC}">
              <c16:uniqueId val="{00000000-D626-2A47-A5E6-A54FDE2E435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1'!$B$28:$AF$28</c:f>
              <c:numCache>
                <c:formatCode>#,###,,;\(#,###,,\);\ \-\ \-</c:formatCode>
                <c:ptCount val="31"/>
                <c:pt idx="0">
                  <c:v>18011756513</c:v>
                </c:pt>
                <c:pt idx="1">
                  <c:v>15315966554</c:v>
                </c:pt>
                <c:pt idx="2">
                  <c:v>24563030085</c:v>
                </c:pt>
                <c:pt idx="3">
                  <c:v>65106186584</c:v>
                </c:pt>
                <c:pt idx="4">
                  <c:v>14483183904</c:v>
                </c:pt>
                <c:pt idx="5">
                  <c:v>21647896464</c:v>
                </c:pt>
                <c:pt idx="6">
                  <c:v>47164689540</c:v>
                </c:pt>
                <c:pt idx="7">
                  <c:v>92456415240</c:v>
                </c:pt>
                <c:pt idx="8">
                  <c:v>93855039630</c:v>
                </c:pt>
                <c:pt idx="9">
                  <c:v>126990145084</c:v>
                </c:pt>
                <c:pt idx="10">
                  <c:v>109181419045</c:v>
                </c:pt>
                <c:pt idx="11">
                  <c:v>100206942175</c:v>
                </c:pt>
                <c:pt idx="12">
                  <c:v>89217800000</c:v>
                </c:pt>
                <c:pt idx="13">
                  <c:v>161605000000</c:v>
                </c:pt>
                <c:pt idx="14">
                  <c:v>134201300000</c:v>
                </c:pt>
                <c:pt idx="15">
                  <c:v>166158800000</c:v>
                </c:pt>
                <c:pt idx="16">
                  <c:v>183977600000</c:v>
                </c:pt>
                <c:pt idx="17">
                  <c:v>254301400000</c:v>
                </c:pt>
                <c:pt idx="18">
                  <c:v>302850900000</c:v>
                </c:pt>
                <c:pt idx="19">
                  <c:v>331713700000</c:v>
                </c:pt>
                <c:pt idx="20">
                  <c:v>344998300000</c:v>
                </c:pt>
                <c:pt idx="21">
                  <c:v>363052700000</c:v>
                </c:pt>
                <c:pt idx="22">
                  <c:v>353948000000</c:v>
                </c:pt>
                <c:pt idx="23">
                  <c:v>510744000000</c:v>
                </c:pt>
                <c:pt idx="24">
                  <c:v>592359200000</c:v>
                </c:pt>
                <c:pt idx="25">
                  <c:v>1016530249000</c:v>
                </c:pt>
                <c:pt idx="26">
                  <c:v>777393939393.93933</c:v>
                </c:pt>
                <c:pt idx="27">
                  <c:v>960454545454.54541</c:v>
                </c:pt>
                <c:pt idx="28">
                  <c:v>1137727272727.2727</c:v>
                </c:pt>
                <c:pt idx="29">
                  <c:v>1113151515151.5151</c:v>
                </c:pt>
                <c:pt idx="30">
                  <c:v>1228303030303.0303</c:v>
                </c:pt>
              </c:numCache>
            </c:numRef>
          </c:val>
          <c:extLst>
            <c:ext xmlns:c16="http://schemas.microsoft.com/office/drawing/2014/chart" uri="{C3380CC4-5D6E-409C-BE32-E72D297353CC}">
              <c16:uniqueId val="{00000001-D626-2A47-A5E6-A54FDE2E435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1'!$B$107:$AF$107</c:f>
              <c:numCache>
                <c:formatCode>#,###,,;\(#,###,,\);\ \-\ \-</c:formatCode>
                <c:ptCount val="31"/>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pt idx="26">
                  <c:v>361757575757.57574</c:v>
                </c:pt>
                <c:pt idx="27">
                  <c:v>743787878787.87878</c:v>
                </c:pt>
                <c:pt idx="28">
                  <c:v>936939393939.39392</c:v>
                </c:pt>
                <c:pt idx="29">
                  <c:v>786000000000</c:v>
                </c:pt>
                <c:pt idx="30">
                  <c:v>956848484848.48486</c:v>
                </c:pt>
              </c:numCache>
            </c:numRef>
          </c:val>
          <c:extLst>
            <c:ext xmlns:c16="http://schemas.microsoft.com/office/drawing/2014/chart" uri="{C3380CC4-5D6E-409C-BE32-E72D297353CC}">
              <c16:uniqueId val="{00000002-D626-2A47-A5E6-A54FDE2E435C}"/>
            </c:ext>
          </c:extLst>
        </c:ser>
        <c:dLbls>
          <c:showLegendKey val="0"/>
          <c:showVal val="0"/>
          <c:showCatName val="0"/>
          <c:showSerName val="0"/>
          <c:showPercent val="0"/>
          <c:showBubbleSize val="0"/>
        </c:dLbls>
        <c:gapWidth val="150"/>
        <c:overlap val="100"/>
        <c:axId val="1629822640"/>
        <c:axId val="1629705008"/>
      </c:barChart>
      <c:catAx>
        <c:axId val="16298226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9705008"/>
        <c:crosses val="autoZero"/>
        <c:auto val="1"/>
        <c:lblAlgn val="ctr"/>
        <c:lblOffset val="100"/>
        <c:noMultiLvlLbl val="0"/>
      </c:catAx>
      <c:valAx>
        <c:axId val="162970500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9822640"/>
        <c:crosses val="autoZero"/>
        <c:crossBetween val="between"/>
      </c:valAx>
      <c:spPr>
        <a:noFill/>
        <a:ln>
          <a:noFill/>
        </a:ln>
        <a:effectLst/>
      </c:spPr>
    </c:plotArea>
    <c:legend>
      <c:legendPos val="b"/>
      <c:layout>
        <c:manualLayout>
          <c:xMode val="edge"/>
          <c:yMode val="edge"/>
          <c:x val="0.34468885943712474"/>
          <c:y val="0.89695949683848619"/>
          <c:w val="0.31499520294736266"/>
          <c:h val="5.588173801347441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15875</xdr:colOff>
      <xdr:row>109</xdr:row>
      <xdr:rowOff>17462</xdr:rowOff>
    </xdr:from>
    <xdr:to>
      <xdr:col>35</xdr:col>
      <xdr:colOff>15875</xdr:colOff>
      <xdr:row>129</xdr:row>
      <xdr:rowOff>174624</xdr:rowOff>
    </xdr:to>
    <xdr:graphicFrame macro="">
      <xdr:nvGraphicFramePr>
        <xdr:cNvPr id="3" name="Chart 2">
          <a:extLst>
            <a:ext uri="{FF2B5EF4-FFF2-40B4-BE49-F238E27FC236}">
              <a16:creationId xmlns:a16="http://schemas.microsoft.com/office/drawing/2014/main" id="{9D54E5A5-787F-66FB-B492-CD3828521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https://www.bing.com/financeapi/forcetrigger?t=anb2p2&amp;q=XTAI%3a2330&amp;form=skydnc</v>
    <v>Learn more on Bing</v>
  </rv>
  <rv s="1">
    <v>0</v>
    <v>Taiwan Semiconductor Manufacturing Co., Ltd. (XTAI:2330)</v>
    <v>2</v>
    <v>3</v>
    <v>Finance</v>
    <v>4</v>
    <v>en-US</v>
    <v>anb2p2</v>
    <v>268435456</v>
    <v>1</v>
    <v>Powered by Refinitiv</v>
    <v>594</v>
    <v>370</v>
    <v>1.3952</v>
    <v>6</v>
    <v>1.0989000000000001E-2</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553</v>
    <v>Semiconductors &amp; Semiconductor Equipment</v>
    <v>Stock</v>
    <v>45219.171180555553</v>
    <v>0</v>
    <v>546</v>
    <v>14003320000000</v>
    <v>Taiwan Semiconductor Manufacturing Co., Ltd.</v>
    <v>Taiwan Semiconductor Manufacturing Co., Ltd.</v>
    <v>549</v>
    <v>15.98</v>
    <v>546</v>
    <v>552</v>
    <v>25932070000</v>
    <v>2330</v>
    <v>Taiwan Semiconductor Manufacturing Co., Ltd. (XTAI:2330)</v>
    <v>28050000</v>
    <v>29222310</v>
    <v>1987</v>
  </rv>
  <rv s="2">
    <v>1</v>
  </rv>
  <rv s="0">
    <v>https://www.bing.com/financeapi/forcetrigger?t=a24kjc&amp;q=XNYS%3aTSM&amp;form=skydnc</v>
    <v>Learn more on Bing</v>
  </rv>
  <rv s="3">
    <v>5</v>
    <v>Taiwan Semiconductor Manufacturing Co., Ltd. (XNYS:TSM)</v>
    <v>2</v>
    <v>6</v>
    <v>Finance</v>
    <v>7</v>
    <v>en-US</v>
    <v>a24kjc</v>
    <v>268435456</v>
    <v>1</v>
    <v>Powered by Refinitiv</v>
    <v>110.69</v>
    <v>59.43</v>
    <v>1.0405</v>
    <v>3.31</v>
    <v>3.6942000000000003E-2</v>
    <v>-0.46</v>
    <v>-4.9509999999999997E-3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94.76</v>
    <v>Semiconductors &amp; Semiconductor Equipment</v>
    <v>Stock</v>
    <v>45218.99913384219</v>
    <v>3</v>
    <v>92.36</v>
    <v>432321300000</v>
    <v>Taiwan Semiconductor Manufacturing Co., Ltd.</v>
    <v>Taiwan Semiconductor Manufacturing Co., Ltd.</v>
    <v>93.09</v>
    <v>16.719799999999999</v>
    <v>89.6</v>
    <v>92.91</v>
    <v>92.45</v>
    <v>5186414000</v>
    <v>TSM</v>
    <v>Taiwan Semiconductor Manufacturing Co., Ltd. (XNYS:TSM)</v>
    <v>22751595</v>
    <v>8303442</v>
    <v>1987</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0">
      <v>1</v>
      <v>Name</v>
      <v>LearnMoreOnLink</v>
    </spb>
    <spb s="5">
      <v>10</v>
      <v>2</v>
      <v>2</v>
      <v>10</v>
      <v>3</v>
      <v>10</v>
      <v>10</v>
      <v>10</v>
      <v>4</v>
      <v>4</v>
      <v>5</v>
      <v>11</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02140803009057/0001021408-03-009057-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6536225/0001193125-16-536225-index.htm" TargetMode="External"/><Relationship Id="rId21" Type="http://schemas.openxmlformats.org/officeDocument/2006/relationships/hyperlink" Target="https://www.sec.gov/Archives/edgar/data/1046179/000114554907000571/0001145549-07-000571-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0107579/0001193125-20-107579-index.htm" TargetMode="External"/><Relationship Id="rId50" Type="http://schemas.openxmlformats.org/officeDocument/2006/relationships/hyperlink" Target="https://www.sec.gov/Archives/edgar/data/1046179/000119312522104891/0001193125-22-104891-index.htm" TargetMode="External"/><Relationship Id="rId55" Type="http://schemas.openxmlformats.org/officeDocument/2006/relationships/hyperlink" Target="https://finbox.com/NYSE:TSM/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095012311035858/0000950123-11-035858-index.htm" TargetMode="External"/><Relationship Id="rId11" Type="http://schemas.openxmlformats.org/officeDocument/2006/relationships/hyperlink" Target="https://www.sec.gov/Archives/edgar/data/1046179/999999999702028299/9999999997-02-028299-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5126836/0001193125-15-126836-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19108390/0001193125-19-108390-index.htm"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6000500/0001145549-06-000500-index.htm" TargetMode="External"/><Relationship Id="rId31" Type="http://schemas.openxmlformats.org/officeDocument/2006/relationships/hyperlink" Target="https://www.sec.gov/Archives/edgar/data/1046179/000119312512161528/0001193125-12-161528-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0034985/0000950123-10-034985-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4141496/0001193125-14-141496-index.htm" TargetMode="External"/><Relationship Id="rId43" Type="http://schemas.openxmlformats.org/officeDocument/2006/relationships/hyperlink" Target="https://www.sec.gov/Archives/edgar/data/1046179/000119312518121866/0001193125-18-121866-index.htm" TargetMode="External"/><Relationship Id="rId48" Type="http://schemas.openxmlformats.org/officeDocument/2006/relationships/hyperlink" Target="https://www.sec.gov/Archives/edgar/data/1046179/000119312521118512/0001193125-21-118512-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46179/000119312522104891/0001193125-22-104891-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5000865/0001145549-05-000865-index.htm" TargetMode="External"/><Relationship Id="rId25" Type="http://schemas.openxmlformats.org/officeDocument/2006/relationships/hyperlink" Target="https://www.sec.gov/Archives/edgar/data/1046179/000114554909000622/0001145549-09-000622-index.htm" TargetMode="External"/><Relationship Id="rId33" Type="http://schemas.openxmlformats.org/officeDocument/2006/relationships/hyperlink" Target="https://www.sec.gov/Archives/edgar/data/1046179/000119312513137651/0001193125-13-137651-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7122097/0001193125-17-122097-index.htm" TargetMode="External"/><Relationship Id="rId54" Type="http://schemas.openxmlformats.org/officeDocument/2006/relationships/hyperlink" Target="https://finbox.com/NYSE:TSM/explorer/revenue_proj" TargetMode="External"/><Relationship Id="rId1" Type="http://schemas.openxmlformats.org/officeDocument/2006/relationships/hyperlink" Target="https://roic.ai/company/TS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9312504095792/0001193125-04-095792-index.htm" TargetMode="External"/><Relationship Id="rId23" Type="http://schemas.openxmlformats.org/officeDocument/2006/relationships/hyperlink" Target="https://www.sec.gov/Archives/edgar/data/1046179/000095014408002830/0000950144-08-002830-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1118512/0001193125-21-1185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9"/>
  <sheetViews>
    <sheetView tabSelected="1" zoomScale="80" zoomScaleNormal="80" workbookViewId="0">
      <pane xSplit="1" ySplit="1" topLeftCell="Y94" activePane="bottomRight" state="frozen"/>
      <selection pane="topRight"/>
      <selection pane="bottomLeft"/>
      <selection pane="bottomRight" activeCell="AD90" sqref="AD90"/>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24">
        <f>69137000000/$AJ$101</f>
        <v>2095060606060.606</v>
      </c>
      <c r="AC3" s="24">
        <f>84171000000/$AJ$101</f>
        <v>2550636363636.3633</v>
      </c>
      <c r="AD3" s="24">
        <f>97481000000/$AJ$101</f>
        <v>2953969696969.6968</v>
      </c>
      <c r="AE3" s="24">
        <f>103000000000/$AJ$101</f>
        <v>3121212121212.1211</v>
      </c>
      <c r="AF3" s="24">
        <f>113400000000/$AJ$101</f>
        <v>3436363636363.6362</v>
      </c>
      <c r="AG3" s="18" t="s">
        <v>108</v>
      </c>
      <c r="AH3" s="19" t="s">
        <v>109</v>
      </c>
      <c r="AI3" s="19" t="s">
        <v>110</v>
      </c>
      <c r="AJ3" s="19" t="s">
        <v>111</v>
      </c>
    </row>
    <row r="4" spans="1:36" ht="19" x14ac:dyDescent="0.25">
      <c r="A4" s="14" t="s">
        <v>93</v>
      </c>
      <c r="B4" s="45"/>
      <c r="C4" s="46">
        <f>(C3/B3)-1</f>
        <v>0.14269167753701462</v>
      </c>
      <c r="D4" s="46">
        <f>(D3/C3)-1</f>
        <v>0.4516735458392942</v>
      </c>
      <c r="E4" s="46">
        <f>(E3/D3)-1</f>
        <v>1.2743145641259042</v>
      </c>
      <c r="F4" s="46">
        <f t="shared" ref="F4:AF4" si="0">(F3/E3)-1</f>
        <v>-0.21655069111953185</v>
      </c>
      <c r="G4" s="46">
        <f t="shared" si="0"/>
        <v>0.24865014498486815</v>
      </c>
      <c r="H4" s="46">
        <f t="shared" si="0"/>
        <v>0.24642778619370009</v>
      </c>
      <c r="I4" s="46">
        <f t="shared" si="0"/>
        <v>0.27127869200966415</v>
      </c>
      <c r="J4" s="46">
        <f t="shared" si="0"/>
        <v>3.7807205884977435E-2</v>
      </c>
      <c r="K4" s="46">
        <f t="shared" si="0"/>
        <v>0.18699401684619166</v>
      </c>
      <c r="L4" s="46">
        <f t="shared" si="0"/>
        <v>1.6665747011531451E-2</v>
      </c>
      <c r="M4" s="46">
        <f t="shared" si="0"/>
        <v>3.5387533504990243E-2</v>
      </c>
      <c r="N4" s="46">
        <f t="shared" si="0"/>
        <v>-0.11471593392458146</v>
      </c>
      <c r="O4" s="46">
        <f t="shared" si="0"/>
        <v>0.41859328834369935</v>
      </c>
      <c r="P4" s="46">
        <f t="shared" si="0"/>
        <v>1.7978590253705296E-2</v>
      </c>
      <c r="Q4" s="46">
        <f t="shared" si="0"/>
        <v>0.18531162501879028</v>
      </c>
      <c r="R4" s="46">
        <f t="shared" si="0"/>
        <v>0.17932727751136057</v>
      </c>
      <c r="S4" s="46">
        <f t="shared" si="0"/>
        <v>0.2777735064446043</v>
      </c>
      <c r="T4" s="46">
        <f t="shared" si="0"/>
        <v>0.10576009228732297</v>
      </c>
      <c r="U4" s="46">
        <f t="shared" si="0"/>
        <v>0.12376425956936021</v>
      </c>
      <c r="V4" s="46">
        <f t="shared" si="0"/>
        <v>3.1156359701963066E-2</v>
      </c>
      <c r="W4" s="46">
        <f t="shared" si="0"/>
        <v>5.5163546176522305E-2</v>
      </c>
      <c r="X4" s="46">
        <f t="shared" si="0"/>
        <v>3.745242455169473E-2</v>
      </c>
      <c r="Y4" s="46">
        <f t="shared" si="0"/>
        <v>0.25163786761132445</v>
      </c>
      <c r="Z4" s="46">
        <f t="shared" si="0"/>
        <v>0.18531165285346862</v>
      </c>
      <c r="AA4" s="46">
        <f t="shared" si="0"/>
        <v>0.42614961556996755</v>
      </c>
      <c r="AB4" s="16">
        <f t="shared" si="0"/>
        <v>-7.4575438553961315E-2</v>
      </c>
      <c r="AC4" s="16">
        <f t="shared" si="0"/>
        <v>0.21745230484400535</v>
      </c>
      <c r="AD4" s="16">
        <f t="shared" si="0"/>
        <v>0.15813047249052525</v>
      </c>
      <c r="AE4" s="16">
        <f t="shared" si="0"/>
        <v>5.6616161098060225E-2</v>
      </c>
      <c r="AF4" s="16">
        <f t="shared" si="0"/>
        <v>0.10097087378640768</v>
      </c>
      <c r="AG4" s="17">
        <f>(AA4+Z4+Y4)/3</f>
        <v>0.28769971201158689</v>
      </c>
      <c r="AH4" s="17">
        <f>(AA20+Z20+Y20)/3</f>
        <v>0.33293441671453444</v>
      </c>
      <c r="AI4" s="17">
        <f>(AA29+Z29+Y29)/3</f>
        <v>0.43961966142045794</v>
      </c>
      <c r="AJ4" s="17">
        <f>(AA106+Z106+Y106)/3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112</v>
      </c>
      <c r="AH6" s="74" t="s">
        <v>113</v>
      </c>
      <c r="AI6" s="74" t="s">
        <v>114</v>
      </c>
      <c r="AJ6" s="74" t="s">
        <v>115</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AB21</f>
        <v>0.6744145681762298</v>
      </c>
      <c r="AI7" s="20">
        <f>AB30</f>
        <v>0.37106035841879165</v>
      </c>
      <c r="AJ7" s="20">
        <f>AB107/AB3</f>
        <v>0.17267165193745751</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94</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95</v>
      </c>
      <c r="AH9" s="19" t="s">
        <v>96</v>
      </c>
      <c r="AI9" s="19" t="s">
        <v>97</v>
      </c>
      <c r="AJ9" s="19" t="s">
        <v>98</v>
      </c>
    </row>
    <row r="10" spans="1:36"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116</v>
      </c>
      <c r="AH12" s="19" t="s">
        <v>117</v>
      </c>
      <c r="AI12" s="19" t="s">
        <v>118</v>
      </c>
      <c r="AJ12" s="19" t="s">
        <v>119</v>
      </c>
    </row>
    <row r="13" spans="1:36" ht="19" x14ac:dyDescent="0.25">
      <c r="A13" s="14" t="s">
        <v>99</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91</v>
      </c>
      <c r="C14" s="1" t="s">
        <v>91</v>
      </c>
      <c r="D14" s="1" t="s">
        <v>91</v>
      </c>
      <c r="E14" s="1">
        <v>-33113</v>
      </c>
      <c r="F14" s="1">
        <v>276223816</v>
      </c>
      <c r="G14" s="1" t="s">
        <v>91</v>
      </c>
      <c r="H14" s="1" t="s">
        <v>91</v>
      </c>
      <c r="I14" s="1" t="s">
        <v>91</v>
      </c>
      <c r="J14" s="1" t="s">
        <v>91</v>
      </c>
      <c r="K14" s="1" t="s">
        <v>91</v>
      </c>
      <c r="L14" s="1" t="s">
        <v>91</v>
      </c>
      <c r="M14" s="1" t="s">
        <v>91</v>
      </c>
      <c r="N14" s="1" t="s">
        <v>91</v>
      </c>
      <c r="O14" s="1" t="s">
        <v>91</v>
      </c>
      <c r="P14" s="1" t="s">
        <v>91</v>
      </c>
      <c r="Q14" s="1" t="s">
        <v>91</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120</v>
      </c>
      <c r="AH15" s="19" t="s">
        <v>121</v>
      </c>
      <c r="AI15" s="19" t="s">
        <v>122</v>
      </c>
      <c r="AJ15" s="19" t="s">
        <v>123</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25">
        <f>(AA35+Z35+Y35+X35+W35)/5</f>
        <v>0</v>
      </c>
      <c r="AH16" s="36">
        <f>AI102/AA3</f>
        <v>6.1855090169232385</v>
      </c>
      <c r="AI16" s="36">
        <f>AI102/AA28</f>
        <v>13.775605805902584</v>
      </c>
      <c r="AJ16" s="38">
        <f>AI102/AA107</f>
        <v>26.8791803099591</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6"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124</v>
      </c>
      <c r="AH18" s="19" t="s">
        <v>163</v>
      </c>
      <c r="AI18" s="19" t="s">
        <v>164</v>
      </c>
      <c r="AJ18" s="19" t="s">
        <v>165</v>
      </c>
    </row>
    <row r="19" spans="1:36"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B19" s="40">
        <f>46627000000/$AJ$101</f>
        <v>1412939393939.3938</v>
      </c>
      <c r="AC19" s="40">
        <f>58458000000/$AJ$101</f>
        <v>1771454545454.5454</v>
      </c>
      <c r="AD19" s="40">
        <f>68190000000/$AJ$101</f>
        <v>2066363636363.6362</v>
      </c>
      <c r="AE19" s="40">
        <f>71728000000/$AJ$101</f>
        <v>2173575757575.7576</v>
      </c>
      <c r="AF19" s="40">
        <f>78874000000/$AJ$101</f>
        <v>2390121212121.2119</v>
      </c>
      <c r="AG19" s="26">
        <f>AA40-AA56-AA61</f>
        <v>698325653000</v>
      </c>
      <c r="AH19" s="36">
        <f>AI102/AB3</f>
        <v>6.6839689312524415</v>
      </c>
      <c r="AI19" s="37">
        <f>AI102/AB28</f>
        <v>18.01315818195993</v>
      </c>
      <c r="AJ19" s="38">
        <f>AI102/AB107</f>
        <v>38.709127156977722</v>
      </c>
    </row>
    <row r="20" spans="1:36" ht="19" customHeight="1" x14ac:dyDescent="0.25">
      <c r="A20" s="14" t="s">
        <v>100</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c r="AB20" s="16">
        <f t="shared" ref="AB20" si="4">(AB19/AA19)-1</f>
        <v>-0.11293478437658155</v>
      </c>
      <c r="AC20" s="16">
        <f t="shared" ref="AC20" si="5">(AC19/AB19)-1</f>
        <v>0.25373710511077285</v>
      </c>
      <c r="AD20" s="16">
        <f t="shared" ref="AD20" si="6">(AD19/AC19)-1</f>
        <v>0.16647849738273623</v>
      </c>
      <c r="AE20" s="16">
        <f t="shared" ref="AE20" si="7">(AE19/AD19)-1</f>
        <v>5.1884440533802589E-2</v>
      </c>
      <c r="AF20" s="16">
        <f t="shared" ref="AF20" si="8">(AF19/AE19)-1</f>
        <v>9.9626366272585143E-2</v>
      </c>
      <c r="AH20" s="15"/>
      <c r="AI20" s="15"/>
      <c r="AJ20" s="15"/>
    </row>
    <row r="21" spans="1:36" ht="20"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c r="AB21" s="41">
        <f>AB19/AB3</f>
        <v>0.6744145681762298</v>
      </c>
      <c r="AC21" s="41">
        <f t="shared" ref="AC21:AF21" si="9">AC19/AC3</f>
        <v>0.69451473785508078</v>
      </c>
      <c r="AD21" s="41">
        <f t="shared" si="9"/>
        <v>0.69952093228424006</v>
      </c>
      <c r="AE21" s="41">
        <f t="shared" si="9"/>
        <v>0.69638834951456308</v>
      </c>
      <c r="AF21" s="41">
        <f t="shared" si="9"/>
        <v>0.69553791887125216</v>
      </c>
      <c r="AH21" s="49" t="s">
        <v>169</v>
      </c>
      <c r="AI21" s="18" t="s">
        <v>166</v>
      </c>
      <c r="AJ21" s="19" t="s">
        <v>168</v>
      </c>
    </row>
    <row r="22" spans="1:36"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c r="AH22" s="17">
        <f>SUM(AB29:AF29)/5</f>
        <v>5.3329918159131795E-2</v>
      </c>
      <c r="AI22" s="50">
        <f>(-1*AA98)/AI102</f>
        <v>2.0369039984803605E-2</v>
      </c>
      <c r="AJ22" s="39">
        <f>AB107/AI102</f>
        <v>2.583370056226493E-2</v>
      </c>
    </row>
    <row r="23" spans="1:36"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6"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6"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6"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6"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6"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c r="AB28" s="42">
        <f>25654000000/$AJ$101</f>
        <v>777393939393.93933</v>
      </c>
      <c r="AC28" s="42">
        <f>31695000000/$AJ$101</f>
        <v>960454545454.54541</v>
      </c>
      <c r="AD28" s="42">
        <f>37545000000/$AJ$101</f>
        <v>1137727272727.2727</v>
      </c>
      <c r="AE28" s="42">
        <f>36734000000/$AJ$101</f>
        <v>1113151515151.5151</v>
      </c>
      <c r="AF28" s="42">
        <f>40534000000/$AJ$101</f>
        <v>1228303030303.0303</v>
      </c>
    </row>
    <row r="29" spans="1:36" ht="20" customHeight="1" thickTop="1" x14ac:dyDescent="0.25">
      <c r="A29" s="14" t="s">
        <v>101</v>
      </c>
      <c r="B29" s="1"/>
      <c r="C29" s="15">
        <f>(C28/B28)-1</f>
        <v>-0.14966835450247795</v>
      </c>
      <c r="D29" s="15">
        <f>(D28/C28)-1</f>
        <v>0.60375318125678379</v>
      </c>
      <c r="E29" s="15">
        <f>(E28/D28)-1</f>
        <v>1.6505763482233671</v>
      </c>
      <c r="F29" s="15">
        <f t="shared" ref="F29:AA29" si="10">(F28/E28)-1</f>
        <v>-0.77754519710175629</v>
      </c>
      <c r="G29" s="15">
        <f t="shared" si="10"/>
        <v>0.49469181690230646</v>
      </c>
      <c r="H29" s="15">
        <f t="shared" si="10"/>
        <v>1.1787192865798253</v>
      </c>
      <c r="I29" s="15">
        <f t="shared" si="10"/>
        <v>0.96028885468626801</v>
      </c>
      <c r="J29" s="15">
        <f t="shared" si="10"/>
        <v>1.5127391499761611E-2</v>
      </c>
      <c r="K29" s="15">
        <f t="shared" si="10"/>
        <v>0.35304556457092628</v>
      </c>
      <c r="L29" s="15">
        <f t="shared" si="10"/>
        <v>-0.14023707136660157</v>
      </c>
      <c r="M29" s="15">
        <f t="shared" si="10"/>
        <v>-8.2197840516261222E-2</v>
      </c>
      <c r="N29" s="15">
        <f t="shared" si="10"/>
        <v>-0.10966447969052595</v>
      </c>
      <c r="O29" s="15">
        <f t="shared" si="10"/>
        <v>0.81135378814541492</v>
      </c>
      <c r="P29" s="15">
        <f t="shared" si="10"/>
        <v>-0.16957210482348939</v>
      </c>
      <c r="Q29" s="15">
        <f t="shared" si="10"/>
        <v>0.23813107622653429</v>
      </c>
      <c r="R29" s="15">
        <f t="shared" si="10"/>
        <v>0.10723958044954585</v>
      </c>
      <c r="S29" s="15">
        <f t="shared" si="10"/>
        <v>0.3822410989163898</v>
      </c>
      <c r="T29" s="15">
        <f t="shared" si="10"/>
        <v>0.19091322344273376</v>
      </c>
      <c r="U29" s="15">
        <f t="shared" si="10"/>
        <v>9.5303662627385322E-2</v>
      </c>
      <c r="V29" s="15">
        <f t="shared" si="10"/>
        <v>4.0048391127650129E-2</v>
      </c>
      <c r="W29" s="15">
        <f t="shared" si="10"/>
        <v>5.2331852069995799E-2</v>
      </c>
      <c r="X29" s="15">
        <f t="shared" si="10"/>
        <v>-2.5078177355518871E-2</v>
      </c>
      <c r="Y29" s="15">
        <f t="shared" si="10"/>
        <v>0.44299162588854868</v>
      </c>
      <c r="Z29" s="15">
        <f t="shared" si="10"/>
        <v>0.15979668875209496</v>
      </c>
      <c r="AA29" s="15">
        <f t="shared" si="10"/>
        <v>0.71607066962073018</v>
      </c>
      <c r="AB29" s="16">
        <f t="shared" ref="AB29" si="11">(AB28/AA28)-1</f>
        <v>-0.23524760806804157</v>
      </c>
      <c r="AC29" s="16">
        <f t="shared" ref="AC29" si="12">(AC28/AB28)-1</f>
        <v>0.23547984719731829</v>
      </c>
      <c r="AD29" s="16">
        <f t="shared" ref="AD29" si="13">(AD28/AC28)-1</f>
        <v>0.18457169900615233</v>
      </c>
      <c r="AE29" s="16">
        <f t="shared" ref="AE29" si="14">(AE28/AD28)-1</f>
        <v>-2.1600745771740537E-2</v>
      </c>
      <c r="AF29" s="16">
        <f t="shared" ref="AF29" si="15">(AF28/AE28)-1</f>
        <v>0.10344639843197045</v>
      </c>
    </row>
    <row r="30" spans="1:36"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c r="AB30" s="43">
        <f>AB28/AB3</f>
        <v>0.37106035841879165</v>
      </c>
      <c r="AC30" s="43">
        <f t="shared" ref="AC30:AF30" si="16">AC28/AC3</f>
        <v>0.37655487044231389</v>
      </c>
      <c r="AD30" s="43">
        <f t="shared" si="16"/>
        <v>0.38515197833423953</v>
      </c>
      <c r="AE30" s="43">
        <f t="shared" si="16"/>
        <v>0.35664077669902916</v>
      </c>
      <c r="AF30" s="43">
        <f t="shared" si="16"/>
        <v>0.3574426807760141</v>
      </c>
    </row>
    <row r="31" spans="1:36"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c r="AB31" s="44">
        <f>AB28/$AA$33</f>
        <v>149.90022116797735</v>
      </c>
      <c r="AC31" s="44">
        <f t="shared" ref="AC31:AF31" si="17">AC28/$AA$33</f>
        <v>185.19870234345686</v>
      </c>
      <c r="AD31" s="44">
        <f t="shared" si="17"/>
        <v>219.38114148872342</v>
      </c>
      <c r="AE31" s="44">
        <f t="shared" si="17"/>
        <v>214.64234522431124</v>
      </c>
      <c r="AF31" s="44">
        <f t="shared" si="17"/>
        <v>236.84632278875787</v>
      </c>
    </row>
    <row r="32" spans="1:36"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8"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c r="AB33" s="1" cm="1">
        <f t="array" ref="AB33">_FV(AJ99,"Shares outstanding",TRUE)</f>
        <v>5186414000</v>
      </c>
    </row>
    <row r="34" spans="1:28"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c r="AB34" s="1" cm="1">
        <f t="array" ref="AB34">_FV(AJ99,"Shares outstanding",TRUE)</f>
        <v>5186414000</v>
      </c>
    </row>
    <row r="35" spans="1:28" ht="20" customHeight="1" x14ac:dyDescent="0.25">
      <c r="A35" s="14" t="s">
        <v>102</v>
      </c>
      <c r="B35" s="1"/>
      <c r="C35" s="22">
        <f>(C34-B34)/B34</f>
        <v>2.235835554819213E-2</v>
      </c>
      <c r="D35" s="22">
        <f t="shared" ref="D35:AB35" si="18">(D34-C34)/C34</f>
        <v>1.9190687958425219E-2</v>
      </c>
      <c r="E35" s="22">
        <f t="shared" si="18"/>
        <v>0.17444564279674479</v>
      </c>
      <c r="F35" s="22">
        <f t="shared" si="18"/>
        <v>9.3117177520547892E-2</v>
      </c>
      <c r="G35" s="22">
        <f t="shared" si="18"/>
        <v>-3.2012728384297459E-2</v>
      </c>
      <c r="H35" s="22">
        <f t="shared" si="18"/>
        <v>8.2016106525435086E-3</v>
      </c>
      <c r="I35" s="22">
        <f t="shared" si="18"/>
        <v>7.4816761976436051E-3</v>
      </c>
      <c r="J35" s="22">
        <f t="shared" si="18"/>
        <v>1.1273384332513008E-2</v>
      </c>
      <c r="K35" s="22">
        <f t="shared" si="18"/>
        <v>1.5010829560124976E-2</v>
      </c>
      <c r="L35" s="22">
        <f t="shared" si="18"/>
        <v>1.6421131627155354E-2</v>
      </c>
      <c r="M35" s="22">
        <f t="shared" si="18"/>
        <v>-1.4845807324330773E-2</v>
      </c>
      <c r="N35" s="22">
        <f t="shared" si="18"/>
        <v>-1.2333871918813036E-2</v>
      </c>
      <c r="O35" s="22">
        <f t="shared" si="18"/>
        <v>2.5048620216957092E-4</v>
      </c>
      <c r="P35" s="22">
        <f t="shared" si="18"/>
        <v>1.7700553092129989E-4</v>
      </c>
      <c r="Q35" s="22">
        <f t="shared" si="18"/>
        <v>1.2551745089872269E-4</v>
      </c>
      <c r="R35" s="22">
        <f t="shared" si="18"/>
        <v>6.4293586654950085E-5</v>
      </c>
      <c r="S35" s="22">
        <f t="shared" si="18"/>
        <v>1.932154533951021E-5</v>
      </c>
      <c r="T35" s="22">
        <f t="shared" si="18"/>
        <v>1.0643998959664797E-5</v>
      </c>
      <c r="U35" s="22">
        <f t="shared" si="18"/>
        <v>0</v>
      </c>
      <c r="V35" s="22">
        <f t="shared" si="18"/>
        <v>0</v>
      </c>
      <c r="W35" s="22">
        <f t="shared" si="18"/>
        <v>0</v>
      </c>
      <c r="X35" s="22">
        <f t="shared" si="18"/>
        <v>0</v>
      </c>
      <c r="Y35" s="22">
        <f t="shared" si="18"/>
        <v>0</v>
      </c>
      <c r="Z35" s="22">
        <f t="shared" si="18"/>
        <v>0</v>
      </c>
      <c r="AA35" s="22">
        <f t="shared" si="18"/>
        <v>0</v>
      </c>
      <c r="AB35" s="22">
        <f t="shared" si="18"/>
        <v>6.5174517303641515E-5</v>
      </c>
    </row>
    <row r="36" spans="1:2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8"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8"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8"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8"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8"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8"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8"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8"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8" ht="19" x14ac:dyDescent="0.25">
      <c r="A46" s="5" t="s">
        <v>38</v>
      </c>
      <c r="B46" s="1" t="s">
        <v>91</v>
      </c>
      <c r="C46" s="1" t="s">
        <v>91</v>
      </c>
      <c r="D46" s="1" t="s">
        <v>91</v>
      </c>
      <c r="E46" s="1" t="s">
        <v>91</v>
      </c>
      <c r="F46" s="1" t="s">
        <v>91</v>
      </c>
      <c r="G46" s="1" t="s">
        <v>91</v>
      </c>
      <c r="H46" s="1" t="s">
        <v>91</v>
      </c>
      <c r="I46" s="1" t="s">
        <v>91</v>
      </c>
      <c r="J46" s="1" t="s">
        <v>91</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8" ht="19" x14ac:dyDescent="0.25">
      <c r="A47" s="5" t="s">
        <v>39</v>
      </c>
      <c r="B47" s="1" t="s">
        <v>91</v>
      </c>
      <c r="C47" s="1" t="s">
        <v>91</v>
      </c>
      <c r="D47" s="1" t="s">
        <v>91</v>
      </c>
      <c r="E47" s="1" t="s">
        <v>91</v>
      </c>
      <c r="F47" s="1" t="s">
        <v>91</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8" ht="19" x14ac:dyDescent="0.25">
      <c r="A48" s="5" t="s">
        <v>40</v>
      </c>
      <c r="B48" s="1" t="s">
        <v>91</v>
      </c>
      <c r="C48" s="1" t="s">
        <v>91</v>
      </c>
      <c r="D48" s="1" t="s">
        <v>91</v>
      </c>
      <c r="E48" s="1" t="s">
        <v>91</v>
      </c>
      <c r="F48" s="1" t="s">
        <v>91</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91</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v>789100000</v>
      </c>
      <c r="P62" s="1" t="s">
        <v>91</v>
      </c>
      <c r="Q62" s="1">
        <v>203900000</v>
      </c>
      <c r="R62" s="1">
        <v>151700000</v>
      </c>
      <c r="S62" s="1">
        <v>25538500000</v>
      </c>
      <c r="T62" s="1">
        <v>21564800000</v>
      </c>
      <c r="U62" s="1">
        <v>14670400000</v>
      </c>
      <c r="V62" s="1">
        <v>7586800000</v>
      </c>
      <c r="W62" s="1">
        <v>3353300000</v>
      </c>
      <c r="X62" s="1">
        <v>176900000</v>
      </c>
      <c r="Y62" s="1">
        <v>265600000</v>
      </c>
      <c r="Z62" s="1" t="s">
        <v>91</v>
      </c>
      <c r="AA62" s="1" t="s">
        <v>91</v>
      </c>
    </row>
    <row r="63" spans="1:2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91</v>
      </c>
      <c r="S70" s="1" t="s">
        <v>91</v>
      </c>
      <c r="T70" s="1" t="s">
        <v>91</v>
      </c>
      <c r="U70" s="1" t="s">
        <v>91</v>
      </c>
      <c r="V70" s="1" t="s">
        <v>91</v>
      </c>
      <c r="W70" s="1" t="s">
        <v>91</v>
      </c>
      <c r="X70" s="1">
        <v>321822000000</v>
      </c>
      <c r="Y70" s="1" t="s">
        <v>91</v>
      </c>
      <c r="Z70" s="1">
        <v>370451000000</v>
      </c>
      <c r="AA70" s="1" t="s">
        <v>91</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91</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91</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6200000</v>
      </c>
      <c r="R79" s="1">
        <v>5300000</v>
      </c>
      <c r="S79" s="1" t="s">
        <v>91</v>
      </c>
      <c r="T79" s="1" t="s">
        <v>91</v>
      </c>
      <c r="U79" s="1" t="s">
        <v>91</v>
      </c>
      <c r="V79" s="1" t="s">
        <v>91</v>
      </c>
      <c r="W79" s="1" t="s">
        <v>91</v>
      </c>
      <c r="X79" s="1">
        <v>2800000</v>
      </c>
      <c r="Y79" s="1">
        <v>6600000</v>
      </c>
      <c r="Z79" s="1">
        <v>7800000</v>
      </c>
      <c r="AA79" s="1">
        <v>302348000</v>
      </c>
    </row>
    <row r="80" spans="1:27" ht="19" x14ac:dyDescent="0.25">
      <c r="A80" s="14" t="s">
        <v>103</v>
      </c>
      <c r="B80" s="15" t="e">
        <f t="shared" ref="B80:AA80" si="19">B79/B3</f>
        <v>#VALUE!</v>
      </c>
      <c r="C80" s="15" t="e">
        <f t="shared" si="19"/>
        <v>#VALUE!</v>
      </c>
      <c r="D80" s="15" t="e">
        <f t="shared" si="19"/>
        <v>#VALUE!</v>
      </c>
      <c r="E80" s="15" t="e">
        <f t="shared" si="19"/>
        <v>#VALUE!</v>
      </c>
      <c r="F80" s="15" t="e">
        <f t="shared" si="19"/>
        <v>#VALUE!</v>
      </c>
      <c r="G80" s="15" t="e">
        <f t="shared" si="19"/>
        <v>#VALUE!</v>
      </c>
      <c r="H80" s="15" t="e">
        <f t="shared" si="19"/>
        <v>#VALUE!</v>
      </c>
      <c r="I80" s="15" t="e">
        <f t="shared" si="19"/>
        <v>#VALUE!</v>
      </c>
      <c r="J80" s="15" t="e">
        <f t="shared" si="19"/>
        <v>#VALUE!</v>
      </c>
      <c r="K80" s="15" t="e">
        <f t="shared" si="19"/>
        <v>#VALUE!</v>
      </c>
      <c r="L80" s="15" t="e">
        <f t="shared" si="19"/>
        <v>#VALUE!</v>
      </c>
      <c r="M80" s="15" t="e">
        <f t="shared" si="19"/>
        <v>#VALUE!</v>
      </c>
      <c r="N80" s="15" t="e">
        <f t="shared" si="19"/>
        <v>#VALUE!</v>
      </c>
      <c r="O80" s="15" t="e">
        <f t="shared" si="19"/>
        <v>#VALUE!</v>
      </c>
      <c r="P80" s="15" t="e">
        <f t="shared" si="19"/>
        <v>#VALUE!</v>
      </c>
      <c r="Q80" s="15">
        <f t="shared" si="19"/>
        <v>1.2247552267417007E-5</v>
      </c>
      <c r="R80" s="15">
        <f t="shared" si="19"/>
        <v>8.8776728704849702E-6</v>
      </c>
      <c r="S80" s="15" t="e">
        <f t="shared" si="19"/>
        <v>#VALUE!</v>
      </c>
      <c r="T80" s="15" t="e">
        <f t="shared" si="19"/>
        <v>#VALUE!</v>
      </c>
      <c r="U80" s="15" t="e">
        <f t="shared" si="19"/>
        <v>#VALUE!</v>
      </c>
      <c r="V80" s="15" t="e">
        <f t="shared" si="19"/>
        <v>#VALUE!</v>
      </c>
      <c r="W80" s="15" t="e">
        <f t="shared" si="19"/>
        <v>#VALUE!</v>
      </c>
      <c r="X80" s="15">
        <f t="shared" si="19"/>
        <v>2.6168498212317735E-6</v>
      </c>
      <c r="Y80" s="15">
        <f t="shared" si="19"/>
        <v>4.9281737345513891E-6</v>
      </c>
      <c r="Z80" s="15">
        <f t="shared" si="19"/>
        <v>4.9136489197846811E-6</v>
      </c>
      <c r="AA80" s="15">
        <f t="shared" si="19"/>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91</v>
      </c>
      <c r="AA82" s="1" t="s">
        <v>91</v>
      </c>
    </row>
    <row r="83" spans="1:35" ht="19"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row>
    <row r="84" spans="1:3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B84" s="51"/>
      <c r="AC84" s="51"/>
      <c r="AD84" s="51"/>
      <c r="AE84" s="51"/>
      <c r="AF84" s="51"/>
      <c r="AG84" s="51"/>
      <c r="AH84" s="79" t="s">
        <v>125</v>
      </c>
      <c r="AI84" s="80"/>
    </row>
    <row r="85" spans="1:35" ht="20" customHeight="1" x14ac:dyDescent="0.25">
      <c r="A85" s="5" t="s">
        <v>71</v>
      </c>
      <c r="B85" s="1" t="s">
        <v>91</v>
      </c>
      <c r="C85" s="1" t="s">
        <v>91</v>
      </c>
      <c r="D85" s="1" t="s">
        <v>91</v>
      </c>
      <c r="E85" s="1" t="s">
        <v>91</v>
      </c>
      <c r="F85" s="1" t="s">
        <v>91</v>
      </c>
      <c r="G85" s="1" t="s">
        <v>91</v>
      </c>
      <c r="H85" s="1" t="s">
        <v>91</v>
      </c>
      <c r="I85" s="1" t="s">
        <v>91</v>
      </c>
      <c r="J85" s="1" t="s">
        <v>91</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B85" s="51"/>
      <c r="AC85" s="51"/>
      <c r="AD85" s="51"/>
      <c r="AE85" s="51"/>
      <c r="AF85" s="51"/>
      <c r="AG85" s="51"/>
      <c r="AH85" s="81" t="s">
        <v>126</v>
      </c>
      <c r="AI85" s="81"/>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B86" s="51"/>
      <c r="AC86" s="51"/>
      <c r="AD86" s="51"/>
      <c r="AE86" s="51"/>
      <c r="AF86" s="51"/>
      <c r="AG86" s="51"/>
      <c r="AH86" s="27" t="s">
        <v>127</v>
      </c>
      <c r="AI86" s="52">
        <f>AA17</f>
        <v>11749984000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B87" s="51"/>
      <c r="AC87" s="51"/>
      <c r="AD87" s="51"/>
      <c r="AE87" s="51"/>
      <c r="AF87" s="51"/>
      <c r="AG87" s="51"/>
      <c r="AH87" s="27" t="s">
        <v>128</v>
      </c>
      <c r="AI87" s="52">
        <f>AA56</f>
        <v>19313889000</v>
      </c>
    </row>
    <row r="88" spans="1:35" ht="20" x14ac:dyDescent="0.25">
      <c r="A88" s="5" t="s">
        <v>74</v>
      </c>
      <c r="B88" s="1">
        <v>-28101494490</v>
      </c>
      <c r="C88" s="1">
        <v>-34594625338</v>
      </c>
      <c r="D88" s="1">
        <v>-29845997160</v>
      </c>
      <c r="E88" s="1">
        <v>-103761911814</v>
      </c>
      <c r="F88" s="1">
        <v>-68002457345</v>
      </c>
      <c r="G88" s="1">
        <v>-55331549901</v>
      </c>
      <c r="H88" s="1" t="s">
        <v>91</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B88" s="51"/>
      <c r="AC88" s="51"/>
      <c r="AD88" s="51"/>
      <c r="AE88" s="51"/>
      <c r="AF88" s="51"/>
      <c r="AG88" s="51"/>
      <c r="AH88" s="27" t="s">
        <v>129</v>
      </c>
      <c r="AI88" s="52">
        <f>AA61</f>
        <v>868860583000</v>
      </c>
    </row>
    <row r="89" spans="1:35" ht="20" customHeight="1" x14ac:dyDescent="0.25">
      <c r="A89" s="14" t="s">
        <v>104</v>
      </c>
      <c r="B89" s="15">
        <f t="shared" ref="B89:AA89" si="20">(-1*B88)/B3</f>
        <v>0.63790091269326898</v>
      </c>
      <c r="C89" s="15">
        <f t="shared" si="20"/>
        <v>0.68723199999999995</v>
      </c>
      <c r="D89" s="15">
        <f t="shared" si="20"/>
        <v>0.40842458153645816</v>
      </c>
      <c r="E89" s="15">
        <f t="shared" si="20"/>
        <v>0.6243285739816512</v>
      </c>
      <c r="F89" s="15">
        <f t="shared" si="20"/>
        <v>0.52226263053996025</v>
      </c>
      <c r="G89" s="15">
        <f t="shared" si="20"/>
        <v>0.34032700258264198</v>
      </c>
      <c r="H89" s="15" t="e">
        <f t="shared" si="20"/>
        <v>#VALUE!</v>
      </c>
      <c r="I89" s="15">
        <f t="shared" si="20"/>
        <v>0.31532972440944884</v>
      </c>
      <c r="J89" s="15">
        <f t="shared" si="20"/>
        <v>0.29965919808477887</v>
      </c>
      <c r="K89" s="15">
        <f t="shared" si="20"/>
        <v>0.24806456249871656</v>
      </c>
      <c r="L89" s="15">
        <f t="shared" si="20"/>
        <v>0.26036085842086748</v>
      </c>
      <c r="M89" s="15">
        <f t="shared" si="20"/>
        <v>0.17776510383889238</v>
      </c>
      <c r="N89" s="15">
        <f t="shared" si="20"/>
        <v>0.29682913023572555</v>
      </c>
      <c r="O89" s="15">
        <f t="shared" si="20"/>
        <v>0.44559549923856701</v>
      </c>
      <c r="P89" s="15">
        <f t="shared" si="20"/>
        <v>0.50098857218052051</v>
      </c>
      <c r="Q89" s="15">
        <f t="shared" si="20"/>
        <v>0.48622268894614951</v>
      </c>
      <c r="R89" s="15">
        <f t="shared" si="20"/>
        <v>0.4817306705004813</v>
      </c>
      <c r="S89" s="15">
        <f t="shared" si="20"/>
        <v>0.37824693413385596</v>
      </c>
      <c r="T89" s="15">
        <f t="shared" si="20"/>
        <v>0.30529103006772279</v>
      </c>
      <c r="U89" s="15">
        <f t="shared" si="20"/>
        <v>0.34692204696399193</v>
      </c>
      <c r="V89" s="15">
        <f t="shared" si="20"/>
        <v>0.33905612462563017</v>
      </c>
      <c r="W89" s="15">
        <f t="shared" si="20"/>
        <v>0.30598563956896602</v>
      </c>
      <c r="X89" s="15">
        <f t="shared" si="20"/>
        <v>0.43030562562897856</v>
      </c>
      <c r="Y89" s="15">
        <f t="shared" si="20"/>
        <v>0.38225611046874775</v>
      </c>
      <c r="Z89" s="15">
        <f t="shared" si="20"/>
        <v>0.52941146455085786</v>
      </c>
      <c r="AA89" s="15">
        <f t="shared" si="20"/>
        <v>0.47823503444086751</v>
      </c>
      <c r="AB89" s="51"/>
      <c r="AC89" s="51"/>
      <c r="AD89" s="51"/>
      <c r="AE89" s="51"/>
      <c r="AF89" s="51"/>
      <c r="AG89" s="51"/>
      <c r="AH89" s="29" t="s">
        <v>130</v>
      </c>
      <c r="AI89" s="53">
        <f>AI86/(AI87+AI88)</f>
        <v>1.3229364691760698E-2</v>
      </c>
    </row>
    <row r="90" spans="1:35" ht="20" x14ac:dyDescent="0.25">
      <c r="A90" s="5" t="s">
        <v>75</v>
      </c>
      <c r="B90" s="1" t="s">
        <v>91</v>
      </c>
      <c r="C90" s="1" t="s">
        <v>91</v>
      </c>
      <c r="D90" s="1" t="s">
        <v>91</v>
      </c>
      <c r="E90" s="1" t="s">
        <v>91</v>
      </c>
      <c r="F90" s="1" t="s">
        <v>91</v>
      </c>
      <c r="G90" s="1" t="s">
        <v>91</v>
      </c>
      <c r="H90" s="1">
        <v>-37792872180</v>
      </c>
      <c r="I90" s="1" t="s">
        <v>91</v>
      </c>
      <c r="J90" s="1" t="s">
        <v>91</v>
      </c>
      <c r="K90" s="1" t="s">
        <v>91</v>
      </c>
      <c r="L90" s="1" t="s">
        <v>91</v>
      </c>
      <c r="M90" s="1" t="s">
        <v>91</v>
      </c>
      <c r="N90" s="1" t="s">
        <v>91</v>
      </c>
      <c r="O90" s="1">
        <v>-6242400000</v>
      </c>
      <c r="P90" s="1" t="s">
        <v>91</v>
      </c>
      <c r="Q90" s="1" t="s">
        <v>91</v>
      </c>
      <c r="R90" s="1">
        <v>-979900000</v>
      </c>
      <c r="S90" s="1" t="s">
        <v>91</v>
      </c>
      <c r="T90" s="1">
        <v>549400000</v>
      </c>
      <c r="U90" s="1" t="s">
        <v>91</v>
      </c>
      <c r="V90" s="1">
        <v>-4100000</v>
      </c>
      <c r="W90" s="1" t="s">
        <v>91</v>
      </c>
      <c r="X90" s="1" t="s">
        <v>91</v>
      </c>
      <c r="Y90" s="1" t="s">
        <v>91</v>
      </c>
      <c r="Z90" s="1" t="s">
        <v>91</v>
      </c>
      <c r="AA90" s="1" t="s">
        <v>91</v>
      </c>
      <c r="AB90" s="51"/>
      <c r="AC90" s="51"/>
      <c r="AD90" s="51"/>
      <c r="AE90" s="51"/>
      <c r="AF90" s="51"/>
      <c r="AG90" s="51"/>
      <c r="AH90" s="27" t="s">
        <v>105</v>
      </c>
      <c r="AI90" s="52">
        <f>AA27</f>
        <v>127290203000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B91" s="51"/>
      <c r="AC91" s="51"/>
      <c r="AD91" s="51"/>
      <c r="AE91" s="51"/>
      <c r="AF91" s="51"/>
      <c r="AG91" s="51"/>
      <c r="AH91" s="27" t="s">
        <v>19</v>
      </c>
      <c r="AI91" s="52">
        <f>AA25</f>
        <v>1144190718000</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B92" s="51"/>
      <c r="AC92" s="51"/>
      <c r="AD92" s="51"/>
      <c r="AE92" s="51"/>
      <c r="AF92" s="51"/>
      <c r="AG92" s="51"/>
      <c r="AH92" s="29" t="s">
        <v>131</v>
      </c>
      <c r="AI92" s="53">
        <f>AI90/AI91</f>
        <v>0.11124911345417854</v>
      </c>
    </row>
    <row r="93" spans="1:35" ht="19" customHeight="1"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B93" s="51"/>
      <c r="AC93" s="51"/>
      <c r="AD93" s="51"/>
      <c r="AE93" s="51"/>
      <c r="AF93" s="51"/>
      <c r="AG93" s="51"/>
      <c r="AH93" s="29" t="s">
        <v>132</v>
      </c>
      <c r="AI93" s="53">
        <f>AI89*(1-AI92)</f>
        <v>1.1757609598240308E-2</v>
      </c>
    </row>
    <row r="94" spans="1:35" ht="20" customHeight="1"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B94" s="51"/>
      <c r="AC94" s="51"/>
      <c r="AD94" s="51"/>
      <c r="AE94" s="51"/>
      <c r="AF94" s="51"/>
      <c r="AG94" s="51"/>
      <c r="AH94" s="81" t="s">
        <v>133</v>
      </c>
      <c r="AI94" s="81"/>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B95" s="51"/>
      <c r="AC95" s="51"/>
      <c r="AD95" s="51"/>
      <c r="AE95" s="51"/>
      <c r="AF95" s="51"/>
      <c r="AG95" s="51"/>
      <c r="AH95" s="27" t="s">
        <v>134</v>
      </c>
      <c r="AI95" s="75">
        <v>1.3050000000000001E-2</v>
      </c>
    </row>
    <row r="96" spans="1:35" ht="20" x14ac:dyDescent="0.25">
      <c r="A96" s="5" t="s">
        <v>81</v>
      </c>
      <c r="B96" s="1" t="s">
        <v>91</v>
      </c>
      <c r="C96" s="1" t="s">
        <v>91</v>
      </c>
      <c r="D96" s="1" t="s">
        <v>91</v>
      </c>
      <c r="E96" s="1">
        <v>39204533131</v>
      </c>
      <c r="F96" s="1" t="s">
        <v>91</v>
      </c>
      <c r="G96" s="1" t="s">
        <v>91</v>
      </c>
      <c r="H96" s="1" t="s">
        <v>91</v>
      </c>
      <c r="I96" s="1" t="s">
        <v>91</v>
      </c>
      <c r="J96" s="1">
        <v>1173895845</v>
      </c>
      <c r="K96" s="1">
        <v>573495472</v>
      </c>
      <c r="L96" s="1">
        <v>437828355</v>
      </c>
      <c r="M96" s="1">
        <v>226660515</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B96" s="51"/>
      <c r="AC96" s="51"/>
      <c r="AD96" s="51"/>
      <c r="AE96" s="51"/>
      <c r="AF96" s="51"/>
      <c r="AG96" s="51"/>
      <c r="AH96" s="30" t="s">
        <v>135</v>
      </c>
      <c r="AI96" s="54" cm="1">
        <f t="array" ref="AI96">_FV(A1,"Beta")</f>
        <v>1.3952</v>
      </c>
    </row>
    <row r="97" spans="1:37" ht="20" x14ac:dyDescent="0.25">
      <c r="A97" s="5" t="s">
        <v>82</v>
      </c>
      <c r="B97" s="1" t="s">
        <v>91</v>
      </c>
      <c r="C97" s="1" t="s">
        <v>91</v>
      </c>
      <c r="D97" s="1" t="s">
        <v>91</v>
      </c>
      <c r="E97" s="1" t="s">
        <v>91</v>
      </c>
      <c r="F97" s="1" t="s">
        <v>91</v>
      </c>
      <c r="G97" s="1" t="s">
        <v>91</v>
      </c>
      <c r="H97" s="1">
        <v>-12971138520</v>
      </c>
      <c r="I97" s="1">
        <v>-7068145560</v>
      </c>
      <c r="J97" s="1" t="s">
        <v>91</v>
      </c>
      <c r="K97" s="1" t="s">
        <v>91</v>
      </c>
      <c r="L97" s="1">
        <v>-45417394692</v>
      </c>
      <c r="M97" s="1">
        <v>-33572035700</v>
      </c>
      <c r="N97" s="1" t="s">
        <v>91</v>
      </c>
      <c r="O97" s="1" t="s">
        <v>91</v>
      </c>
      <c r="P97" s="1">
        <v>-71600000</v>
      </c>
      <c r="Q97" s="1" t="s">
        <v>91</v>
      </c>
      <c r="R97" s="1" t="s">
        <v>91</v>
      </c>
      <c r="S97" s="1" t="s">
        <v>91</v>
      </c>
      <c r="T97" s="1" t="s">
        <v>91</v>
      </c>
      <c r="U97" s="1" t="s">
        <v>91</v>
      </c>
      <c r="V97" s="1" t="s">
        <v>91</v>
      </c>
      <c r="W97" s="1" t="s">
        <v>91</v>
      </c>
      <c r="X97" s="1" t="s">
        <v>91</v>
      </c>
      <c r="Y97" s="1" t="s">
        <v>91</v>
      </c>
      <c r="Z97" s="1" t="s">
        <v>91</v>
      </c>
      <c r="AA97" s="1">
        <v>-871566000</v>
      </c>
      <c r="AB97" s="51"/>
      <c r="AC97" s="51"/>
      <c r="AD97" s="51"/>
      <c r="AE97" s="51"/>
      <c r="AF97" s="51"/>
      <c r="AG97" s="51"/>
      <c r="AH97" s="27" t="s">
        <v>136</v>
      </c>
      <c r="AI97" s="55">
        <v>8.4000000000000005E-2</v>
      </c>
    </row>
    <row r="98" spans="1:37" ht="19" customHeight="1" x14ac:dyDescent="0.25">
      <c r="A98" s="5" t="s">
        <v>83</v>
      </c>
      <c r="B98" s="1" t="s">
        <v>91</v>
      </c>
      <c r="C98" s="1" t="s">
        <v>91</v>
      </c>
      <c r="D98" s="1" t="s">
        <v>91</v>
      </c>
      <c r="E98" s="1" t="s">
        <v>91</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B98" s="51"/>
      <c r="AC98" s="51"/>
      <c r="AD98" s="51"/>
      <c r="AE98" s="51"/>
      <c r="AF98" s="51"/>
      <c r="AG98" s="51"/>
      <c r="AH98" s="29" t="s">
        <v>137</v>
      </c>
      <c r="AI98" s="53">
        <f>(AI95)+((AI96)*(AI97-AI95))</f>
        <v>0.11203944</v>
      </c>
      <c r="AJ98" t="s">
        <v>170</v>
      </c>
    </row>
    <row r="99" spans="1:37" ht="20" customHeight="1"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B99" s="51"/>
      <c r="AC99" s="51"/>
      <c r="AD99" s="51"/>
      <c r="AE99" s="51"/>
      <c r="AF99" s="51"/>
      <c r="AG99" s="51"/>
      <c r="AH99" s="81" t="s">
        <v>138</v>
      </c>
      <c r="AI99" s="81"/>
      <c r="AJ99" t="e" vm="2">
        <v>#VALUE!</v>
      </c>
      <c r="AK99" s="48"/>
    </row>
    <row r="100" spans="1:37"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B100" s="51"/>
      <c r="AC100" s="51"/>
      <c r="AD100" s="51"/>
      <c r="AE100" s="51"/>
      <c r="AF100" s="51"/>
      <c r="AG100" s="51"/>
      <c r="AH100" s="27" t="s">
        <v>139</v>
      </c>
      <c r="AI100" s="52">
        <f>AI87+AI88</f>
        <v>888174472000</v>
      </c>
      <c r="AJ100" s="47" t="s">
        <v>156</v>
      </c>
    </row>
    <row r="101" spans="1:37" ht="20" x14ac:dyDescent="0.25">
      <c r="A101" s="5" t="s">
        <v>86</v>
      </c>
      <c r="B101" s="1" t="s">
        <v>91</v>
      </c>
      <c r="C101" s="1">
        <v>-657227004</v>
      </c>
      <c r="D101" s="1" t="s">
        <v>91</v>
      </c>
      <c r="E101" s="1">
        <v>118576149</v>
      </c>
      <c r="F101" s="1" t="s">
        <v>91</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B101" s="51"/>
      <c r="AC101" s="51"/>
      <c r="AD101" s="51"/>
      <c r="AE101" s="51"/>
      <c r="AF101" s="51"/>
      <c r="AG101" s="51"/>
      <c r="AH101" s="29" t="s">
        <v>140</v>
      </c>
      <c r="AI101" s="53">
        <f>AI100/AI104</f>
        <v>5.9643071665507183E-2</v>
      </c>
      <c r="AJ101" s="31">
        <v>3.3000000000000002E-2</v>
      </c>
    </row>
    <row r="102" spans="1:37"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B102" s="51"/>
      <c r="AC102" s="51"/>
      <c r="AD102" s="51"/>
      <c r="AE102" s="51"/>
      <c r="AF102" s="51"/>
      <c r="AG102" s="51"/>
      <c r="AH102" s="30" t="s">
        <v>141</v>
      </c>
      <c r="AI102" s="56" cm="1">
        <f t="array" ref="AI102">_FV(A1,"Market cap",TRUE)</f>
        <v>14003320000000</v>
      </c>
      <c r="AJ102" s="47" t="s">
        <v>157</v>
      </c>
    </row>
    <row r="103" spans="1:37"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B103" s="51"/>
      <c r="AC103" s="51"/>
      <c r="AD103" s="51"/>
      <c r="AE103" s="51"/>
      <c r="AF103" s="51"/>
      <c r="AG103" s="51"/>
      <c r="AH103" s="29" t="s">
        <v>142</v>
      </c>
      <c r="AI103" s="53">
        <f>AI102/AI104</f>
        <v>0.9403569283344928</v>
      </c>
      <c r="AJ103" s="28">
        <f>AI102*AJ101</f>
        <v>462109560000</v>
      </c>
    </row>
    <row r="104" spans="1:37" ht="20" customHeight="1"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B104" s="83" t="s">
        <v>115</v>
      </c>
      <c r="AC104" s="83"/>
      <c r="AD104" s="83"/>
      <c r="AE104" s="83"/>
      <c r="AF104" s="83"/>
      <c r="AG104" s="51"/>
      <c r="AH104" s="29" t="s">
        <v>143</v>
      </c>
      <c r="AI104" s="58">
        <f>AI100+AI102</f>
        <v>14891494472000</v>
      </c>
    </row>
    <row r="105" spans="1:37" ht="21" customHeight="1" thickTop="1" x14ac:dyDescent="0.25">
      <c r="A105" s="14" t="s">
        <v>161</v>
      </c>
      <c r="B105" s="1">
        <f t="shared" ref="B105:AA105" si="21">(B22*(1-$AI$92))+B77+B88+B81</f>
        <v>-10594400990.662193</v>
      </c>
      <c r="C105" s="1">
        <f t="shared" si="21"/>
        <v>-5083598385.9156761</v>
      </c>
      <c r="D105" s="1">
        <f t="shared" si="21"/>
        <v>5170992493.5488586</v>
      </c>
      <c r="E105" s="1">
        <f t="shared" si="21"/>
        <v>-22784906494.670135</v>
      </c>
      <c r="F105" s="1">
        <f t="shared" si="21"/>
        <v>-7247944526.3330536</v>
      </c>
      <c r="G105" s="1">
        <f t="shared" si="21"/>
        <v>41296755384.959106</v>
      </c>
      <c r="H105" s="1" t="e">
        <f t="shared" si="21"/>
        <v>#VALUE!</v>
      </c>
      <c r="I105" s="1">
        <f t="shared" si="21"/>
        <v>60917509142.183899</v>
      </c>
      <c r="J105" s="1">
        <f t="shared" si="21"/>
        <v>68341628778.374603</v>
      </c>
      <c r="K105" s="1">
        <f t="shared" si="21"/>
        <v>113723898324.59692</v>
      </c>
      <c r="L105" s="1">
        <f t="shared" si="21"/>
        <v>90975763762.5672</v>
      </c>
      <c r="M105" s="1">
        <f t="shared" si="21"/>
        <v>150885242435.73981</v>
      </c>
      <c r="N105" s="1">
        <f t="shared" si="21"/>
        <v>64132220153.438171</v>
      </c>
      <c r="O105" s="1">
        <f t="shared" si="21"/>
        <v>28416088991.197083</v>
      </c>
      <c r="P105" s="1">
        <f t="shared" si="21"/>
        <v>23454164747.12146</v>
      </c>
      <c r="Q105" s="1">
        <f t="shared" si="21"/>
        <v>33074247015.50415</v>
      </c>
      <c r="R105" s="1">
        <f t="shared" si="21"/>
        <v>48927121110.705505</v>
      </c>
      <c r="S105" s="1">
        <f t="shared" si="21"/>
        <v>125016591427.57812</v>
      </c>
      <c r="T105" s="1">
        <f t="shared" si="21"/>
        <v>272656565987.03973</v>
      </c>
      <c r="U105" s="1">
        <f t="shared" si="21"/>
        <v>215828229826.9082</v>
      </c>
      <c r="V105" s="1">
        <f t="shared" si="21"/>
        <v>281379480815.89771</v>
      </c>
      <c r="W105" s="1">
        <f t="shared" si="21"/>
        <v>256245325724.81091</v>
      </c>
      <c r="X105" s="1">
        <f t="shared" si="21"/>
        <v>168522533041.60278</v>
      </c>
      <c r="Y105" s="1">
        <f t="shared" si="21"/>
        <v>295185515854.72095</v>
      </c>
      <c r="Z105" s="1">
        <f t="shared" si="21"/>
        <v>292136601112.85095</v>
      </c>
      <c r="AA105" s="1">
        <f t="shared" si="21"/>
        <v>473628314891.33008</v>
      </c>
      <c r="AB105" s="76">
        <f>AB107/AB3</f>
        <v>0.17267165193745751</v>
      </c>
      <c r="AC105" s="76">
        <f>AC107/AC3</f>
        <v>0.29160874885649457</v>
      </c>
      <c r="AD105" s="76">
        <f>AD107/AD3</f>
        <v>0.31717975810670801</v>
      </c>
      <c r="AE105" s="76">
        <f>AE107/AE3</f>
        <v>0.25182524271844658</v>
      </c>
      <c r="AF105" s="76">
        <f>AF107/AF3</f>
        <v>0.27844797178130515</v>
      </c>
      <c r="AG105" s="77" t="s">
        <v>167</v>
      </c>
      <c r="AH105" s="81" t="s">
        <v>144</v>
      </c>
      <c r="AI105" s="81"/>
    </row>
    <row r="106" spans="1:37" ht="20" x14ac:dyDescent="0.25">
      <c r="A106" s="14" t="s">
        <v>106</v>
      </c>
      <c r="B106" s="1"/>
      <c r="C106" s="15">
        <f t="shared" ref="C106:AA106" si="22">(C107/B107)-1</f>
        <v>-0.66023844690773537</v>
      </c>
      <c r="D106" s="15">
        <f t="shared" si="22"/>
        <v>-4.716021352464761</v>
      </c>
      <c r="E106" s="15">
        <f t="shared" si="22"/>
        <v>-2.0633066879522239</v>
      </c>
      <c r="F106" s="15">
        <f t="shared" si="22"/>
        <v>-1.3540175301892403</v>
      </c>
      <c r="G106" s="15">
        <f t="shared" si="22"/>
        <v>10.830968261796651</v>
      </c>
      <c r="H106" s="15">
        <f t="shared" si="22"/>
        <v>1.6720148824889343</v>
      </c>
      <c r="I106" s="15">
        <f t="shared" si="22"/>
        <v>-0.37688644544148509</v>
      </c>
      <c r="J106" s="15">
        <f t="shared" si="22"/>
        <v>7.1969148897544022E-2</v>
      </c>
      <c r="K106" s="15">
        <f t="shared" si="22"/>
        <v>0.63174925618738054</v>
      </c>
      <c r="L106" s="15">
        <f t="shared" si="22"/>
        <v>-0.20966073965313869</v>
      </c>
      <c r="M106" s="15">
        <f t="shared" si="22"/>
        <v>0.63082925717436633</v>
      </c>
      <c r="N106" s="15">
        <f t="shared" si="22"/>
        <v>-0.55638676946104537</v>
      </c>
      <c r="O106" s="15">
        <f t="shared" si="22"/>
        <v>-0.41076868726751314</v>
      </c>
      <c r="P106" s="15">
        <f t="shared" si="22"/>
        <v>-0.20942311128666691</v>
      </c>
      <c r="Q106" s="15">
        <f t="shared" si="22"/>
        <v>0.27664054484081557</v>
      </c>
      <c r="R106" s="15">
        <f t="shared" si="22"/>
        <v>0.32874641246412462</v>
      </c>
      <c r="S106" s="15">
        <f t="shared" si="22"/>
        <v>1.2638157168078292</v>
      </c>
      <c r="T106" s="15">
        <f t="shared" si="22"/>
        <v>1.0761305781565347</v>
      </c>
      <c r="U106" s="15">
        <f t="shared" si="22"/>
        <v>-0.2288051978765937</v>
      </c>
      <c r="V106" s="15">
        <f t="shared" si="22"/>
        <v>0.20648454176217679</v>
      </c>
      <c r="W106" s="15">
        <f t="shared" si="22"/>
        <v>7.3864499696707497E-3</v>
      </c>
      <c r="X106" s="15">
        <f t="shared" si="22"/>
        <v>-0.4213977596398486</v>
      </c>
      <c r="Y106" s="15">
        <f t="shared" si="22"/>
        <v>1.0716606619867304</v>
      </c>
      <c r="Z106" s="15">
        <f t="shared" si="22"/>
        <v>-0.12771733085606274</v>
      </c>
      <c r="AA106" s="15">
        <f t="shared" si="22"/>
        <v>0.98296363145700649</v>
      </c>
      <c r="AB106" s="59">
        <f>(AB107/AA107)-1</f>
        <v>-0.30561130451338914</v>
      </c>
      <c r="AC106" s="59">
        <f>(AC107/AB107)-1</f>
        <v>1.0560395376109901</v>
      </c>
      <c r="AD106" s="59">
        <f>(AD107/AC107)-1</f>
        <v>0.25968629048686087</v>
      </c>
      <c r="AE106" s="59">
        <f>(AE107/AD107)-1</f>
        <v>-0.16109835376305826</v>
      </c>
      <c r="AF106" s="59">
        <f>(AF107/AE107)-1</f>
        <v>0.21736448454005708</v>
      </c>
      <c r="AG106" s="73">
        <f>SUM(AB106:AF106)/5</f>
        <v>0.21327613087229214</v>
      </c>
      <c r="AH106" s="32" t="s">
        <v>107</v>
      </c>
      <c r="AI106" s="60">
        <f>(AI101*AI93)+(AI103*AI98)</f>
        <v>0.10605832360259961</v>
      </c>
    </row>
    <row r="107" spans="1:37" ht="19" x14ac:dyDescent="0.25">
      <c r="A107" s="35" t="s">
        <v>162</v>
      </c>
      <c r="B107" s="1">
        <v>-7709062103</v>
      </c>
      <c r="C107" s="1">
        <v>-2619242913</v>
      </c>
      <c r="D107" s="1">
        <v>9733162592</v>
      </c>
      <c r="E107" s="1">
        <v>-10349336879</v>
      </c>
      <c r="F107" s="1">
        <v>3663846681</v>
      </c>
      <c r="G107" s="1">
        <v>43346853799</v>
      </c>
      <c r="H107" s="1">
        <v>115823438460</v>
      </c>
      <c r="I107" s="1">
        <v>72171154440</v>
      </c>
      <c r="J107" s="1">
        <v>77365251000</v>
      </c>
      <c r="K107" s="1">
        <v>126240690774</v>
      </c>
      <c r="L107" s="1">
        <v>99772974172</v>
      </c>
      <c r="M107" s="1">
        <v>162712685355</v>
      </c>
      <c r="N107" s="1">
        <v>72181500000</v>
      </c>
      <c r="O107" s="1">
        <v>42531600000</v>
      </c>
      <c r="P107" s="1">
        <v>33624500000</v>
      </c>
      <c r="Q107" s="1">
        <v>42926400000</v>
      </c>
      <c r="R107" s="1">
        <v>57038300000</v>
      </c>
      <c r="S107" s="1">
        <v>129124200000</v>
      </c>
      <c r="T107" s="1">
        <v>268078700000</v>
      </c>
      <c r="U107" s="1">
        <v>206740900000</v>
      </c>
      <c r="V107" s="1">
        <v>249429700000</v>
      </c>
      <c r="W107" s="1">
        <v>251272100000</v>
      </c>
      <c r="X107" s="1">
        <v>145386600000</v>
      </c>
      <c r="Y107" s="1">
        <v>301191700000</v>
      </c>
      <c r="Z107" s="1">
        <v>262724300000</v>
      </c>
      <c r="AA107" s="1">
        <v>520972732000</v>
      </c>
      <c r="AB107" s="61">
        <f>11938000000/$AJ$101</f>
        <v>361757575757.57574</v>
      </c>
      <c r="AC107" s="61">
        <f>24545000000/$AJ$101</f>
        <v>743787878787.87878</v>
      </c>
      <c r="AD107" s="61">
        <f>30919000000/$AJ$101</f>
        <v>936939393939.39392</v>
      </c>
      <c r="AE107" s="61">
        <f>25938000000/$AJ$101</f>
        <v>786000000000</v>
      </c>
      <c r="AF107" s="61">
        <f>31576000000/$AJ$101</f>
        <v>956848484848.48486</v>
      </c>
      <c r="AG107" s="57" t="s">
        <v>160</v>
      </c>
      <c r="AH107" s="62" t="s">
        <v>145</v>
      </c>
      <c r="AI107" s="33">
        <f>(SUM(AB4:AF4)/5)</f>
        <v>9.1718874733007438E-2</v>
      </c>
    </row>
    <row r="108" spans="1:37" ht="19" x14ac:dyDescent="0.2">
      <c r="AB108" s="78"/>
      <c r="AC108" s="78"/>
      <c r="AD108" s="78"/>
      <c r="AE108" s="78"/>
      <c r="AF108" s="63">
        <f>AF107*(1+AI108)/(AI109-AI108)</f>
        <v>12099555645612.229</v>
      </c>
      <c r="AG108" s="64" t="s">
        <v>146</v>
      </c>
      <c r="AH108" s="65" t="s">
        <v>147</v>
      </c>
      <c r="AI108" s="34">
        <v>2.5000000000000001E-2</v>
      </c>
    </row>
    <row r="109" spans="1:37" ht="19" x14ac:dyDescent="0.2">
      <c r="AB109" s="63">
        <f t="shared" ref="AB109:AD109" si="23">AB108+AB107</f>
        <v>361757575757.57574</v>
      </c>
      <c r="AC109" s="63">
        <f t="shared" si="23"/>
        <v>743787878787.87878</v>
      </c>
      <c r="AD109" s="63">
        <f t="shared" si="23"/>
        <v>936939393939.39392</v>
      </c>
      <c r="AE109" s="63">
        <f>AE108+AE107</f>
        <v>786000000000</v>
      </c>
      <c r="AF109" s="63">
        <f>AF108+AF107</f>
        <v>13056404130460.713</v>
      </c>
      <c r="AG109" s="64" t="s">
        <v>143</v>
      </c>
      <c r="AH109" s="66" t="s">
        <v>148</v>
      </c>
      <c r="AI109" s="33">
        <f>AI106</f>
        <v>0.10605832360259961</v>
      </c>
    </row>
    <row r="110" spans="1:37" ht="19" x14ac:dyDescent="0.2">
      <c r="AB110" s="82" t="s">
        <v>149</v>
      </c>
      <c r="AC110" s="82"/>
      <c r="AD110" s="51"/>
      <c r="AE110" s="51"/>
      <c r="AF110" s="51"/>
      <c r="AG110" s="51"/>
      <c r="AH110" s="51"/>
      <c r="AI110" s="51"/>
    </row>
    <row r="111" spans="1:37" ht="20" x14ac:dyDescent="0.2">
      <c r="AB111" s="67" t="s">
        <v>150</v>
      </c>
      <c r="AC111" s="56">
        <f>NPV(AI109,AB109,AC109,AD109,AE109,AF109)</f>
        <v>10040061895418.969</v>
      </c>
      <c r="AD111" s="51"/>
      <c r="AE111" s="51"/>
      <c r="AF111" s="51"/>
      <c r="AG111" s="51"/>
      <c r="AH111" s="51"/>
      <c r="AI111" s="51"/>
    </row>
    <row r="112" spans="1:37" ht="20" x14ac:dyDescent="0.2">
      <c r="AB112" s="67" t="s">
        <v>151</v>
      </c>
      <c r="AC112" s="56">
        <f>AA40</f>
        <v>1586500125000</v>
      </c>
      <c r="AD112" s="51"/>
      <c r="AE112" s="51"/>
      <c r="AF112" s="51"/>
      <c r="AG112" s="51"/>
      <c r="AH112" s="51"/>
      <c r="AI112" s="51"/>
    </row>
    <row r="113" spans="28:35" ht="20" x14ac:dyDescent="0.2">
      <c r="AB113" s="67" t="s">
        <v>139</v>
      </c>
      <c r="AC113" s="56">
        <f>AI100</f>
        <v>888174472000</v>
      </c>
      <c r="AD113" s="51"/>
      <c r="AE113" s="51"/>
      <c r="AF113" s="51"/>
      <c r="AG113" s="51"/>
      <c r="AH113" s="51"/>
      <c r="AI113" s="51"/>
    </row>
    <row r="114" spans="28:35" ht="20" x14ac:dyDescent="0.2">
      <c r="AB114" s="67" t="s">
        <v>152</v>
      </c>
      <c r="AC114" s="56">
        <f>AC111+AC112-AC113</f>
        <v>10738387548418.969</v>
      </c>
      <c r="AD114" s="51"/>
      <c r="AE114" s="51"/>
      <c r="AF114" s="51"/>
      <c r="AG114" s="51"/>
      <c r="AH114" s="51"/>
      <c r="AI114" s="51"/>
    </row>
    <row r="115" spans="28:35" ht="20" x14ac:dyDescent="0.2">
      <c r="AB115" s="67" t="s">
        <v>153</v>
      </c>
      <c r="AC115" s="67">
        <f>AA34*(1+(5*AG16))</f>
        <v>5186076000</v>
      </c>
      <c r="AD115" s="51"/>
      <c r="AE115" s="51"/>
      <c r="AF115" s="51"/>
      <c r="AG115" s="51"/>
      <c r="AH115" s="51"/>
      <c r="AI115" s="51"/>
    </row>
    <row r="116" spans="28:35" ht="20" x14ac:dyDescent="0.2">
      <c r="AB116" s="68" t="s">
        <v>159</v>
      </c>
      <c r="AC116" s="69">
        <f>AC114/AC115*AJ101</f>
        <v>68.330427301456055</v>
      </c>
      <c r="AD116" s="51"/>
      <c r="AE116" s="51"/>
      <c r="AF116" s="51"/>
      <c r="AG116" s="51"/>
      <c r="AH116" s="51"/>
      <c r="AI116" s="51"/>
    </row>
    <row r="117" spans="28:35" ht="20" x14ac:dyDescent="0.2">
      <c r="AB117" s="67" t="s">
        <v>158</v>
      </c>
      <c r="AC117" s="70" cm="1">
        <f t="array" ref="AC117">_FV(AJ99,"Price")</f>
        <v>92.91</v>
      </c>
      <c r="AD117" s="51"/>
      <c r="AE117" s="51"/>
      <c r="AF117" s="51"/>
      <c r="AG117" s="51"/>
      <c r="AH117" s="51"/>
      <c r="AI117" s="51"/>
    </row>
    <row r="118" spans="28:35" ht="20" x14ac:dyDescent="0.2">
      <c r="AB118" s="68" t="s">
        <v>154</v>
      </c>
      <c r="AC118" s="71">
        <f>AC116/AC117-1</f>
        <v>-0.26455249917709545</v>
      </c>
      <c r="AD118" s="51"/>
      <c r="AE118" s="51"/>
      <c r="AF118" s="51"/>
      <c r="AG118" s="51"/>
      <c r="AH118" s="51"/>
      <c r="AI118" s="51"/>
    </row>
    <row r="119" spans="28:35" ht="20" x14ac:dyDescent="0.2">
      <c r="AB119" s="68" t="s">
        <v>155</v>
      </c>
      <c r="AC119" s="72" t="str">
        <f>IF(AC116&gt;AC117,"BUY","SELL")</f>
        <v>SELL</v>
      </c>
      <c r="AD119" s="51"/>
      <c r="AE119" s="51"/>
      <c r="AF119" s="51"/>
      <c r="AG119" s="51"/>
      <c r="AH119" s="51"/>
      <c r="AI119" s="51"/>
    </row>
  </sheetData>
  <mergeCells count="7">
    <mergeCell ref="AH84:AI84"/>
    <mergeCell ref="AH85:AI85"/>
    <mergeCell ref="AB110:AC110"/>
    <mergeCell ref="AB104:AF104"/>
    <mergeCell ref="AH105:AI105"/>
    <mergeCell ref="AH99:AI99"/>
    <mergeCell ref="AH94:AI94"/>
  </mergeCells>
  <hyperlinks>
    <hyperlink ref="A1" r:id="rId1" tooltip="https://roic.ai/company/TSM" display="ROIC.AI | TS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46179/999999999702028299/9999999997-02-028299-index.htm" xr:uid="{00000000-0004-0000-0000-00000D000000}"/>
    <hyperlink ref="F74" r:id="rId11" tooltip="https://www.sec.gov/Archives/edgar/data/1046179/999999999702028299/9999999997-02-028299-index.htm" xr:uid="{00000000-0004-0000-0000-00000E000000}"/>
    <hyperlink ref="G36" r:id="rId12" tooltip="https://www.sec.gov/Archives/edgar/data/1046179/000102140803009057/0001021408-03-009057-index.htm" xr:uid="{00000000-0004-0000-0000-000010000000}"/>
    <hyperlink ref="G74" r:id="rId13" tooltip="https://www.sec.gov/Archives/edgar/data/1046179/000102140803009057/0001021408-03-009057-index.htm" xr:uid="{00000000-0004-0000-0000-000011000000}"/>
    <hyperlink ref="H36" r:id="rId14" tooltip="https://www.sec.gov/Archives/edgar/data/1046179/000119312504095792/0001193125-04-095792-index.htm" xr:uid="{00000000-0004-0000-0000-000013000000}"/>
    <hyperlink ref="H74" r:id="rId15" tooltip="https://www.sec.gov/Archives/edgar/data/1046179/000119312504095792/0001193125-04-095792-index.htm" xr:uid="{00000000-0004-0000-0000-000014000000}"/>
    <hyperlink ref="I36" r:id="rId16" tooltip="https://www.sec.gov/Archives/edgar/data/1046179/000114554905000865/0001145549-05-000865-index.htm" xr:uid="{00000000-0004-0000-0000-000016000000}"/>
    <hyperlink ref="I74" r:id="rId17" tooltip="https://www.sec.gov/Archives/edgar/data/1046179/000114554905000865/0001145549-05-000865-index.htm" xr:uid="{00000000-0004-0000-0000-000017000000}"/>
    <hyperlink ref="J36" r:id="rId18" tooltip="https://www.sec.gov/Archives/edgar/data/1046179/000114554906000500/0001145549-06-000500-index.htm" xr:uid="{00000000-0004-0000-0000-000019000000}"/>
    <hyperlink ref="J74" r:id="rId19" tooltip="https://www.sec.gov/Archives/edgar/data/1046179/000114554906000500/0001145549-06-000500-index.htm" xr:uid="{00000000-0004-0000-0000-00001A000000}"/>
    <hyperlink ref="K36" r:id="rId20" tooltip="https://www.sec.gov/Archives/edgar/data/1046179/000114554907000571/0001145549-07-000571-index.htm" xr:uid="{00000000-0004-0000-0000-00001C000000}"/>
    <hyperlink ref="K74" r:id="rId21" tooltip="https://www.sec.gov/Archives/edgar/data/1046179/000114554907000571/0001145549-07-000571-index.htm" xr:uid="{00000000-0004-0000-0000-00001D000000}"/>
    <hyperlink ref="L36" r:id="rId22" tooltip="https://www.sec.gov/Archives/edgar/data/1046179/000095014408002830/0000950144-08-002830-index.htm" xr:uid="{00000000-0004-0000-0000-00001F000000}"/>
    <hyperlink ref="L74" r:id="rId23" tooltip="https://www.sec.gov/Archives/edgar/data/1046179/000095014408002830/0000950144-08-002830-index.htm" xr:uid="{00000000-0004-0000-0000-000020000000}"/>
    <hyperlink ref="M36" r:id="rId24" tooltip="https://www.sec.gov/Archives/edgar/data/1046179/000114554909000622/0001145549-09-000622-index.htm" xr:uid="{00000000-0004-0000-0000-000022000000}"/>
    <hyperlink ref="M74" r:id="rId25" tooltip="https://www.sec.gov/Archives/edgar/data/1046179/000114554909000622/0001145549-09-000622-index.htm" xr:uid="{00000000-0004-0000-0000-000023000000}"/>
    <hyperlink ref="N36" r:id="rId26" tooltip="https://www.sec.gov/Archives/edgar/data/1046179/000095012310034985/0000950123-10-034985-index.htm" xr:uid="{00000000-0004-0000-0000-000025000000}"/>
    <hyperlink ref="N74" r:id="rId27" tooltip="https://www.sec.gov/Archives/edgar/data/1046179/000095012310034985/0000950123-10-034985-index.htm" xr:uid="{00000000-0004-0000-0000-000026000000}"/>
    <hyperlink ref="O36" r:id="rId28" tooltip="https://www.sec.gov/Archives/edgar/data/1046179/000095012311035858/0000950123-11-035858-index.htm" xr:uid="{00000000-0004-0000-0000-000028000000}"/>
    <hyperlink ref="O74" r:id="rId29" tooltip="https://www.sec.gov/Archives/edgar/data/1046179/000095012311035858/0000950123-11-035858-index.htm" xr:uid="{00000000-0004-0000-0000-000029000000}"/>
    <hyperlink ref="P36" r:id="rId30" tooltip="https://www.sec.gov/Archives/edgar/data/1046179/000119312512161528/0001193125-12-161528-index.htm" xr:uid="{00000000-0004-0000-0000-00002B000000}"/>
    <hyperlink ref="P74" r:id="rId31" tooltip="https://www.sec.gov/Archives/edgar/data/1046179/000119312512161528/0001193125-12-161528-index.htm" xr:uid="{00000000-0004-0000-0000-00002C000000}"/>
    <hyperlink ref="Q36" r:id="rId32" tooltip="https://www.sec.gov/Archives/edgar/data/1046179/000119312513137651/0001193125-13-137651-index.htm" xr:uid="{00000000-0004-0000-0000-00002E000000}"/>
    <hyperlink ref="Q74" r:id="rId33" tooltip="https://www.sec.gov/Archives/edgar/data/1046179/000119312513137651/0001193125-13-137651-index.htm" xr:uid="{00000000-0004-0000-0000-00002F000000}"/>
    <hyperlink ref="R36" r:id="rId34" tooltip="https://www.sec.gov/Archives/edgar/data/1046179/000119312514141496/0001193125-14-141496-index.htm" xr:uid="{00000000-0004-0000-0000-000031000000}"/>
    <hyperlink ref="R74" r:id="rId35" tooltip="https://www.sec.gov/Archives/edgar/data/1046179/000119312514141496/0001193125-14-141496-index.htm" xr:uid="{00000000-0004-0000-0000-000032000000}"/>
    <hyperlink ref="S36" r:id="rId36" tooltip="https://www.sec.gov/Archives/edgar/data/1046179/000119312515126836/0001193125-15-126836-index.htm" xr:uid="{00000000-0004-0000-0000-000034000000}"/>
    <hyperlink ref="S74" r:id="rId37" tooltip="https://www.sec.gov/Archives/edgar/data/1046179/000119312515126836/0001193125-15-126836-index.htm" xr:uid="{00000000-0004-0000-0000-000035000000}"/>
    <hyperlink ref="T36" r:id="rId38" tooltip="https://www.sec.gov/Archives/edgar/data/1046179/000119312516536225/0001193125-16-536225-index.htm" xr:uid="{00000000-0004-0000-0000-000037000000}"/>
    <hyperlink ref="T74" r:id="rId39" tooltip="https://www.sec.gov/Archives/edgar/data/1046179/000119312516536225/0001193125-16-536225-index.htm" xr:uid="{00000000-0004-0000-0000-000038000000}"/>
    <hyperlink ref="U36" r:id="rId40" tooltip="https://www.sec.gov/Archives/edgar/data/1046179/000119312517122097/0001193125-17-122097-index.htm" xr:uid="{00000000-0004-0000-0000-00003A000000}"/>
    <hyperlink ref="U74" r:id="rId41" tooltip="https://www.sec.gov/Archives/edgar/data/1046179/000119312517122097/0001193125-17-122097-index.htm" xr:uid="{00000000-0004-0000-0000-00003B000000}"/>
    <hyperlink ref="V36" r:id="rId42" tooltip="https://www.sec.gov/Archives/edgar/data/1046179/000119312518121866/0001193125-18-121866-index.htm" xr:uid="{00000000-0004-0000-0000-00003D000000}"/>
    <hyperlink ref="V74" r:id="rId43" tooltip="https://www.sec.gov/Archives/edgar/data/1046179/000119312518121866/0001193125-18-121866-index.htm" xr:uid="{00000000-0004-0000-0000-00003E000000}"/>
    <hyperlink ref="W36" r:id="rId44" tooltip="https://www.sec.gov/Archives/edgar/data/1046179/000119312519108390/0001193125-19-108390-index.htm" xr:uid="{00000000-0004-0000-0000-000040000000}"/>
    <hyperlink ref="W74" r:id="rId45" tooltip="https://www.sec.gov/Archives/edgar/data/1046179/000119312519108390/0001193125-19-108390-index.htm" xr:uid="{00000000-0004-0000-0000-000041000000}"/>
    <hyperlink ref="X36" r:id="rId46" tooltip="https://www.sec.gov/Archives/edgar/data/1046179/000119312520107579/0001193125-20-107579-index.htm" xr:uid="{00000000-0004-0000-0000-000043000000}"/>
    <hyperlink ref="X74" r:id="rId47" tooltip="https://www.sec.gov/Archives/edgar/data/1046179/000119312520107579/0001193125-20-107579-index.htm" xr:uid="{00000000-0004-0000-0000-000044000000}"/>
    <hyperlink ref="Y36" r:id="rId48" tooltip="https://www.sec.gov/Archives/edgar/data/1046179/000119312521118512/0001193125-21-118512-index.htm" xr:uid="{00000000-0004-0000-0000-000046000000}"/>
    <hyperlink ref="Y74" r:id="rId49" tooltip="https://www.sec.gov/Archives/edgar/data/1046179/000119312521118512/0001193125-21-118512-index.htm" xr:uid="{00000000-0004-0000-0000-000047000000}"/>
    <hyperlink ref="Z36" r:id="rId50" tooltip="https://www.sec.gov/Archives/edgar/data/1046179/000119312522104891/0001193125-22-104891-index.htm" xr:uid="{00000000-0004-0000-0000-000049000000}"/>
    <hyperlink ref="Z74" r:id="rId51" tooltip="https://www.sec.gov/Archives/edgar/data/1046179/000119312522104891/0001193125-22-104891-index.htm" xr:uid="{00000000-0004-0000-0000-00004A000000}"/>
    <hyperlink ref="AA36" r:id="rId52" tooltip="https://sec.gov" xr:uid="{00000000-0004-0000-0000-00004C000000}"/>
    <hyperlink ref="AA74" r:id="rId53" tooltip="https://sec.gov" xr:uid="{00000000-0004-0000-0000-00004D000000}"/>
    <hyperlink ref="AB1" r:id="rId54" display="https://finbox.com/NYSE:TSM/explorer/revenue_proj" xr:uid="{BD4BDCDA-3FE0-8448-B821-18ACC774C463}"/>
    <hyperlink ref="AG107" r:id="rId55" xr:uid="{FFA92C07-BB9C-F94C-BBBB-FF7DE1364AC8}"/>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2023-03-14T06:02:17Z</dcterms:created>
  <dcterms:modified xsi:type="dcterms:W3CDTF">2023-10-20T04:26:37Z</dcterms:modified>
</cp:coreProperties>
</file>