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B0CACD2-B1E6-A047-999C-6F60FA7F38A9}"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8" i="1" l="1"/>
  <c r="F108" i="1"/>
  <c r="G108" i="1"/>
  <c r="H108" i="1"/>
  <c r="F105" i="1"/>
  <c r="G105" i="1"/>
  <c r="H105" i="1" s="1"/>
  <c r="I105" i="1" s="1"/>
  <c r="E105" i="1"/>
  <c r="L94" i="1"/>
  <c r="B105" i="1"/>
  <c r="C105" i="1"/>
  <c r="D105" i="1"/>
  <c r="F30" i="1" l="1"/>
  <c r="G30" i="1"/>
  <c r="H30" i="1"/>
  <c r="I30" i="1"/>
  <c r="E30" i="1"/>
  <c r="E29" i="1"/>
  <c r="F29" i="1"/>
  <c r="G29" i="1"/>
  <c r="H29" i="1"/>
  <c r="I29" i="1"/>
  <c r="F21" i="1"/>
  <c r="G21" i="1"/>
  <c r="H21" i="1"/>
  <c r="I21" i="1"/>
  <c r="E21" i="1"/>
  <c r="E20" i="1"/>
  <c r="F20" i="1"/>
  <c r="G20" i="1"/>
  <c r="H20" i="1"/>
  <c r="I20" i="1"/>
  <c r="F114" i="1" a="1"/>
  <c r="F114" i="1" s="1"/>
  <c r="F116" i="1" a="1"/>
  <c r="F116" i="1" s="1"/>
  <c r="L101" i="1" a="1"/>
  <c r="L101" i="1" s="1"/>
  <c r="L92" i="1"/>
  <c r="L88" i="1"/>
  <c r="L95" i="1" a="1"/>
  <c r="L95" i="1" s="1"/>
  <c r="L97" i="1" s="1"/>
  <c r="J16" i="1"/>
  <c r="L4" i="1"/>
  <c r="K4" i="1"/>
  <c r="J4" i="1"/>
  <c r="L86" i="1"/>
  <c r="L87" i="1"/>
  <c r="L99" i="1"/>
  <c r="L85" i="1"/>
  <c r="L89" i="1"/>
  <c r="L90" i="1"/>
  <c r="L91" i="1"/>
  <c r="F111" i="1"/>
  <c r="F112" i="1"/>
  <c r="E4" i="1"/>
  <c r="F4" i="1"/>
  <c r="G4" i="1"/>
  <c r="H4" i="1"/>
  <c r="I4" i="1"/>
  <c r="J19" i="1"/>
  <c r="M13" i="1"/>
  <c r="L13" i="1"/>
  <c r="K13" i="1"/>
  <c r="J13" i="1"/>
  <c r="M10" i="1"/>
  <c r="L10" i="1"/>
  <c r="K10" i="1"/>
  <c r="J10" i="1"/>
  <c r="M7" i="1"/>
  <c r="L7" i="1"/>
  <c r="K7" i="1"/>
  <c r="J7" i="1"/>
  <c r="D106" i="1"/>
  <c r="M4" i="1" s="1"/>
  <c r="C106" i="1"/>
  <c r="D89" i="1"/>
  <c r="C89" i="1"/>
  <c r="B89" i="1"/>
  <c r="D80" i="1"/>
  <c r="C80" i="1"/>
  <c r="B80" i="1"/>
  <c r="D35" i="1"/>
  <c r="C35" i="1"/>
  <c r="D29" i="1"/>
  <c r="C29" i="1"/>
  <c r="D20" i="1"/>
  <c r="C20" i="1"/>
  <c r="D13" i="1"/>
  <c r="C13" i="1"/>
  <c r="B13" i="1"/>
  <c r="D9" i="1"/>
  <c r="C9" i="1"/>
  <c r="B9" i="1"/>
  <c r="D4" i="1"/>
  <c r="C4" i="1"/>
  <c r="M19" i="1" l="1"/>
  <c r="L22" i="1"/>
  <c r="M22" i="1"/>
  <c r="L106" i="1"/>
  <c r="K19" i="1"/>
  <c r="L19" i="1"/>
  <c r="L103" i="1"/>
  <c r="L100" i="1" s="1"/>
  <c r="K16" i="1"/>
  <c r="M16" i="1"/>
  <c r="L16" i="1"/>
  <c r="L102" i="1" l="1"/>
  <c r="L105" i="1" s="1"/>
  <c r="L108" i="1" s="1"/>
  <c r="I107" i="1" s="1"/>
  <c r="I108" i="1" s="1"/>
  <c r="F110" i="1" l="1"/>
  <c r="F113" i="1" s="1"/>
  <c r="F115" i="1" s="1"/>
  <c r="F117" i="1" l="1"/>
  <c r="F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<sst xmlns="http://schemas.openxmlformats.org/spreadsheetml/2006/main" count="247" uniqueCount="167">
  <si>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</si>
  <si>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</si>
  <si>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</si>
  <si>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</si>
  <si>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</si>
  <si>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</si>
  <si>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</si>
  <si>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</si>
  <si>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</si>
  <si>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</si>
  <si>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</si>
  <si>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</si>
  <si>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</si>
  <si>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</si>
  <si>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</si>
  <si>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</si>
  <si>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</si>
  <si>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</si>
  <si>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</si>
  <si>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</si>
  <si>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</si>
  <si>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</si>
  <si>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</si>
  <si>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</si>
  <si>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</si>
  <si>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</si>
  <si>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</si>
  <si>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</si>
  <si>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</si>
  <si>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</si>
  <si>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</si>
  <si>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</si>
  <si>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</si>
  <si>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</si>
  <si>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</si>
  <si>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</si>
  <si>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</si>
  <si>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</si>
  <si>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</si>
  <si>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</si>
  <si>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</si>
  <si>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</si>
  <si>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</si>
  <si>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</si>
  <si>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</si>
  <si>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</si>
  <si>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</si>
  <si>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</si>
  <si>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</si>
  <si>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</si>
  <si>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</si>
  <si>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</si>
  <si>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</si>
  <si>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</si>
  <si>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</si>
  <si>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</si>
  <si>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</si>
  <si>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</si>
  <si>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</si>
  <si>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</si>
  <si>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</si>
  <si>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</si>
  <si>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</si>
  <si>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</si>
  <si>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</si>
  <si>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</si>
  <si>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</si>
  <si>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</si>
  <si>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</si>
  <si>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</si>
  <si>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</si>
  <si>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</si>
  <si>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</si>
  <si>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</si>
  <si>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</si>
  <si>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</si>
  <si>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</si>
  <si>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</si>
  <si>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</si>
  <si>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</si>
  <si>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</si>
  <si>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</si>
  <si>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</si>
  <si>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</si>
  <si>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</si>
  <si>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</si>
  <si>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</si>
  <si>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</si>
  <si>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</si>
  <si>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</si>
  <si>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</si>
  <si>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</si>
  <si>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</si>
  <si>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</si>
  <si>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</si>
  <si>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</si>
  <si>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</si>
  <si>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</si>
  <si>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</si>
  <si>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</si>
  <si>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</si>
  <si>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</si>
  <si>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</si>
  <si>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</si>
  <si>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</si>
  <si>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</si>
  <si>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</si>
  <si>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</si>
  <si>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</si>
  <si>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</si>
  <si>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</si>
  <si>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</si>
  <si>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</si>
  <si>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</si>
  <si>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</si>
  <si>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</si>
  <si>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</si>
  <si>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</si>
  <si>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</si>
  <si>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</si>
  <si>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</si>
  <si>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</si>
  <si>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</si>
  <si>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</si>
  <si>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</si>
  <si>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</si>
  <si>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</si>
  <si>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</si>
  <si>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</si>
  <si>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</si>
  <si>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</si>
  <si>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</si>
  <si>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</si>
  <si>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</si>
  <si>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</si>
  <si>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</si>
  <si>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</si>
  <si>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</si>
  <si>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</si>
  <si>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</si>
  <si>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</si>
  <si>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</si>
  <si>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</si>
  <si>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</si>
  <si>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</si>
  <si>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</si>
  <si>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</si>
  <si>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</si>
  <si>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</si>
  <si>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</si>
  <si>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</si>
  <si>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</si>
  <si>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2yr Rev Growth</t>
  </si>
  <si>
    <t>2yr EBITDA Growth</t>
  </si>
  <si>
    <t>2yr Net Income Growth</t>
  </si>
  <si>
    <t>2yr FCF Growth</t>
  </si>
  <si>
    <t>Shares (No dilution)</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</si>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</sst>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horizontal="center" vertical="center" wrapTex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0" fontId="12" fillId="6" borderId="0" xfId="0" applyFont="1" applyFill="1" applyAlignment="1">
      <alignment horizontal="center" vertical="center" wrapText="1"/>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Braze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42236324936989E-2"/>
          <c:y val="0.15908042156704305"/>
          <c:w val="0.83683587312779928"/>
          <c:h val="0.676755826327713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1'!$B$1:$D$1</c:f>
              <c:numCache>
                <c:formatCode>General</c:formatCode>
                <c:ptCount val="3"/>
                <c:pt idx="0">
                  <c:v>2020</c:v>
                </c:pt>
                <c:pt idx="1">
                  <c:v>2021</c:v>
                </c:pt>
                <c:pt idx="2">
                  <c:v>2022</c:v>
                </c:pt>
              </c:numCache>
            </c:numRef>
          </c:cat>
          <c:val>
            <c:numRef>
              <c:f>'Sheet 1'!$B$3:$D$3</c:f>
              <c:numCache>
                <c:formatCode>#,###,,;\(#,###,,\);\ \-\ \-</c:formatCode>
                <c:ptCount val="3"/>
                <c:pt idx="0">
                  <c:v>96364000</c:v>
                </c:pt>
                <c:pt idx="1">
                  <c:v>150191000</c:v>
                </c:pt>
                <c:pt idx="2">
                  <c:v>238035000</c:v>
                </c:pt>
              </c:numCache>
            </c:numRef>
          </c:val>
          <c:extLst>
            <c:ext xmlns:c16="http://schemas.microsoft.com/office/drawing/2014/chart" uri="{C3380CC4-5D6E-409C-BE32-E72D297353CC}">
              <c16:uniqueId val="{00000000-8FB2-2A45-9AF5-5BE3B51370A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1'!$B$1:$D$1</c:f>
              <c:numCache>
                <c:formatCode>General</c:formatCode>
                <c:ptCount val="3"/>
                <c:pt idx="0">
                  <c:v>2020</c:v>
                </c:pt>
                <c:pt idx="1">
                  <c:v>2021</c:v>
                </c:pt>
                <c:pt idx="2">
                  <c:v>2022</c:v>
                </c:pt>
              </c:numCache>
            </c:numRef>
          </c:cat>
          <c:val>
            <c:numRef>
              <c:f>'Sheet 1'!$B$28:$D$28</c:f>
              <c:numCache>
                <c:formatCode>#,###,,;\(#,###,,\);\ \-\ \-</c:formatCode>
                <c:ptCount val="3"/>
                <c:pt idx="0">
                  <c:v>-31810000</c:v>
                </c:pt>
                <c:pt idx="1">
                  <c:v>-31752000</c:v>
                </c:pt>
                <c:pt idx="2">
                  <c:v>-76719000</c:v>
                </c:pt>
              </c:numCache>
            </c:numRef>
          </c:val>
          <c:extLst>
            <c:ext xmlns:c16="http://schemas.microsoft.com/office/drawing/2014/chart" uri="{C3380CC4-5D6E-409C-BE32-E72D297353CC}">
              <c16:uniqueId val="{00000001-8FB2-2A45-9AF5-5BE3B51370A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1'!$B$1:$D$1</c:f>
              <c:numCache>
                <c:formatCode>General</c:formatCode>
                <c:ptCount val="3"/>
                <c:pt idx="0">
                  <c:v>2020</c:v>
                </c:pt>
                <c:pt idx="1">
                  <c:v>2021</c:v>
                </c:pt>
                <c:pt idx="2">
                  <c:v>2022</c:v>
                </c:pt>
              </c:numCache>
            </c:numRef>
          </c:cat>
          <c:val>
            <c:numRef>
              <c:f>'Sheet 1'!$B$107:$D$107</c:f>
              <c:numCache>
                <c:formatCode>#,###,,;\(#,###,,\);\ \-\ \-</c:formatCode>
                <c:ptCount val="3"/>
                <c:pt idx="0">
                  <c:v>-9919000</c:v>
                </c:pt>
                <c:pt idx="1">
                  <c:v>-10432000</c:v>
                </c:pt>
                <c:pt idx="2">
                  <c:v>-39773000</c:v>
                </c:pt>
              </c:numCache>
            </c:numRef>
          </c:val>
          <c:extLst>
            <c:ext xmlns:c16="http://schemas.microsoft.com/office/drawing/2014/chart" uri="{C3380CC4-5D6E-409C-BE32-E72D297353CC}">
              <c16:uniqueId val="{00000002-8FB2-2A45-9AF5-5BE3B51370A7}"/>
            </c:ext>
          </c:extLst>
        </c:ser>
        <c:dLbls>
          <c:showLegendKey val="0"/>
          <c:showVal val="0"/>
          <c:showCatName val="0"/>
          <c:showSerName val="0"/>
          <c:showPercent val="0"/>
          <c:showBubbleSize val="0"/>
        </c:dLbls>
        <c:gapWidth val="100"/>
        <c:overlap val="-24"/>
        <c:axId val="8078848"/>
        <c:axId val="8080576"/>
      </c:barChart>
      <c:catAx>
        <c:axId val="8078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080576"/>
        <c:crosses val="autoZero"/>
        <c:auto val="1"/>
        <c:lblAlgn val="ctr"/>
        <c:lblOffset val="100"/>
        <c:noMultiLvlLbl val="0"/>
      </c:catAx>
      <c:valAx>
        <c:axId val="80805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078848"/>
        <c:crosses val="autoZero"/>
        <c:crossBetween val="between"/>
      </c:valAx>
      <c:spPr>
        <a:noFill/>
        <a:ln>
          <a:noFill/>
        </a:ln>
        <a:effectLst/>
      </c:spPr>
    </c:plotArea>
    <c:legend>
      <c:legendPos val="b"/>
      <c:layout>
        <c:manualLayout>
          <c:xMode val="edge"/>
          <c:yMode val="edge"/>
          <c:x val="0.34258941512907903"/>
          <c:y val="0.87898827365470245"/>
          <c:w val="0.31482106527728809"/>
          <c:h val="6.61508883949126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31749</xdr:colOff>
      <xdr:row>108</xdr:row>
      <xdr:rowOff>33338</xdr:rowOff>
    </xdr:from>
    <xdr:to>
      <xdr:col>11</xdr:col>
      <xdr:colOff>1587499</xdr:colOff>
      <xdr:row>125</xdr:row>
      <xdr:rowOff>0</xdr:rowOff>
    </xdr:to>
    <xdr:graphicFrame macro="">
      <xdr:nvGraphicFramePr>
        <xdr:cNvPr id="3" name="Chart 2">
          <a:extLst>
            <a:ext uri="{FF2B5EF4-FFF2-40B4-BE49-F238E27FC236}">
              <a16:creationId xmlns:a16="http://schemas.microsoft.com/office/drawing/2014/main" id="{2085BAE4-D5C4-6A2B-FCCF-AA090406F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uture-Forward Fund"/>
      <sheetName val="Best Mature"/>
      <sheetName val="Growth"/>
      <sheetName val="To Be Modeled"/>
      <sheetName val="Hedge Fund Portfolio"/>
      <sheetName val="Scored Portfolio"/>
      <sheetName val="GARP HF Buys"/>
      <sheetName val="Value HF Buys"/>
      <sheetName val="Aggressive Growth HF Buys"/>
      <sheetName val="Other HF Buys"/>
    </sheetNames>
    <sheetDataSet>
      <sheetData sheetId="0">
        <row r="8">
          <cell r="C8">
            <v>4.2880000000000001E-2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https://www.bing.com/financeapi/forcetrigger?t=c3zqc7&amp;q=XNAS%3aBRZE&amp;form=skydnc</v>
    <v>Learn more on Bing</v>
  </rv>
  <rv s="1">
    <v>0</v>
    <v>Braze, Inc. (XNAS:BRZE)</v>
    <v>2</v>
    <v>3</v>
    <v>Finance</v>
    <v>4</v>
    <v>en-US</v>
    <v>c3zqc7</v>
    <v>268435456</v>
    <v>1</v>
    <v>Powered by Refinitiv</v>
    <v>50.13</v>
    <v>22.535</v>
    <v>2.1659999999999999</v>
    <v>-2.33</v>
    <v>-4.6984999999999999E-2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48.8</v>
    <v>Software &amp; IT Services</v>
    <v>Stock</v>
    <v>45181.964863471876</v>
    <v>0</v>
    <v>47.23</v>
    <v>4672448276</v>
    <v>Braze, Inc.</v>
    <v>Braze, Inc.</v>
    <v>48.7</v>
    <v>49.59</v>
    <v>47.26</v>
    <v>98866870</v>
    <v>BRZE</v>
    <v>Braze, Inc. (XNAS:BRZE)</v>
    <v>1380490</v>
    <v>804054</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box.com/NASDAQGS:BRZE/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76238/000167623822000005/0001676238-22-000005-index.htm" TargetMode="External"/><Relationship Id="rId2" Type="http://schemas.openxmlformats.org/officeDocument/2006/relationships/hyperlink" Target="https://sec.gov/" TargetMode="External"/><Relationship Id="rId1" Type="http://schemas.openxmlformats.org/officeDocument/2006/relationships/hyperlink" Target="https://roic.ai/company/BRZE" TargetMode="External"/><Relationship Id="rId6" Type="http://schemas.openxmlformats.org/officeDocument/2006/relationships/hyperlink" Target="https://www.sec.gov/Archives/edgar/data/1676238/000167623822000005/0001676238-22-000005-index.htm" TargetMode="External"/><Relationship Id="rId5" Type="http://schemas.openxmlformats.org/officeDocument/2006/relationships/hyperlink" Target="https://sec.gov/" TargetMode="External"/><Relationship Id="rId10"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finbox.com/NASDAQGS:BRZE/explorer/fcf_unlev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5" activePane="bottomRight" state="frozen"/>
      <selection pane="topRight"/>
      <selection pane="bottomLeft"/>
      <selection pane="bottomRight" activeCell="C116" sqref="C116"/>
    </sheetView>
  </sheetViews>
  <sheetFormatPr baseColWidth="10" defaultRowHeight="16" x14ac:dyDescent="0.2"/>
  <cols>
    <col min="1" max="1" width="50" customWidth="1"/>
    <col min="2" max="4" width="15" customWidth="1"/>
    <col min="5" max="13" width="21" customWidth="1"/>
  </cols>
  <sheetData>
    <row r="1" spans="1:38" ht="22" thickBot="1" x14ac:dyDescent="0.3">
      <c r="A1" s="3" t="e" vm="1">
        <v>#VALUE!</v>
      </c>
      <c r="B1" s="8">
        <v>2020</v>
      </c>
      <c r="C1" s="8">
        <v>2021</v>
      </c>
      <c r="D1" s="8">
        <v>2022</v>
      </c>
      <c r="E1" s="24">
        <v>2023</v>
      </c>
      <c r="F1" s="24">
        <v>2024</v>
      </c>
      <c r="G1" s="24">
        <v>2025</v>
      </c>
      <c r="H1" s="24">
        <v>2026</v>
      </c>
      <c r="I1" s="24">
        <v>2027</v>
      </c>
    </row>
    <row r="2" spans="1:38" ht="21" x14ac:dyDescent="0.25">
      <c r="A2" s="4" t="s">
        <v>0</v>
      </c>
      <c r="B2" s="9" t="s">
        <v>90</v>
      </c>
      <c r="C2" s="9" t="s">
        <v>90</v>
      </c>
      <c r="D2" s="9" t="s">
        <v>90</v>
      </c>
      <c r="E2" s="9" t="s">
        <v>90</v>
      </c>
      <c r="F2" s="9" t="s">
        <v>90</v>
      </c>
      <c r="G2" s="9" t="s">
        <v>90</v>
      </c>
      <c r="H2" s="9"/>
      <c r="I2" s="9"/>
      <c r="J2" s="9"/>
      <c r="K2" s="9"/>
      <c r="L2" s="9"/>
      <c r="M2" s="9"/>
    </row>
    <row r="3" spans="1:38" ht="40" x14ac:dyDescent="0.25">
      <c r="A3" s="5" t="s">
        <v>1</v>
      </c>
      <c r="B3" s="1">
        <v>96364000</v>
      </c>
      <c r="C3" s="1">
        <v>150191000</v>
      </c>
      <c r="D3" s="1">
        <v>238035000</v>
      </c>
      <c r="E3" s="25">
        <v>445000000</v>
      </c>
      <c r="F3" s="25">
        <v>545300000</v>
      </c>
      <c r="G3" s="25">
        <v>670000000</v>
      </c>
      <c r="H3" s="25">
        <v>1075000000</v>
      </c>
      <c r="I3" s="25">
        <v>1365000000</v>
      </c>
      <c r="J3" s="19" t="s">
        <v>152</v>
      </c>
      <c r="K3" s="20" t="s">
        <v>153</v>
      </c>
      <c r="L3" s="20" t="s">
        <v>154</v>
      </c>
      <c r="M3" s="20" t="s">
        <v>155</v>
      </c>
    </row>
    <row r="4" spans="1:38" ht="19" x14ac:dyDescent="0.25">
      <c r="A4" s="14" t="s">
        <v>93</v>
      </c>
      <c r="B4" s="1"/>
      <c r="C4" s="15">
        <f>(C3/B3)-1</f>
        <v>0.55857996762276363</v>
      </c>
      <c r="D4" s="15">
        <f>(D3/C3)-1</f>
        <v>0.58488191702565406</v>
      </c>
      <c r="E4" s="16">
        <f t="shared" ref="E4:I4" si="0">(E3/D3)-1</f>
        <v>0.86947297666309575</v>
      </c>
      <c r="F4" s="16">
        <f t="shared" si="0"/>
        <v>0.22539325842696623</v>
      </c>
      <c r="G4" s="16">
        <f t="shared" si="0"/>
        <v>0.22868145974692822</v>
      </c>
      <c r="H4" s="16">
        <f t="shared" si="0"/>
        <v>0.60447761194029859</v>
      </c>
      <c r="I4" s="16">
        <f t="shared" si="0"/>
        <v>0.2697674418604652</v>
      </c>
      <c r="J4" s="17">
        <f>(D4+C4)/2</f>
        <v>0.57173094232420885</v>
      </c>
      <c r="K4" s="17">
        <f>(D20+C20)/2</f>
        <v>0.72685261761288333</v>
      </c>
      <c r="L4" s="17">
        <f>(D29+C29)/2</f>
        <v>0.70718546474092792</v>
      </c>
      <c r="M4" s="17">
        <f>(D106+C106)/2</f>
        <v>1.4321573910871308</v>
      </c>
      <c r="T4" s="16"/>
      <c r="U4" s="16"/>
      <c r="V4" s="16"/>
      <c r="W4" s="16"/>
      <c r="X4" s="16"/>
      <c r="Y4" s="16"/>
      <c r="Z4" s="16"/>
      <c r="AA4" s="16"/>
      <c r="AB4" s="16"/>
      <c r="AC4" s="16"/>
      <c r="AD4" s="16"/>
      <c r="AE4" s="16"/>
      <c r="AF4" s="16"/>
      <c r="AI4" s="18"/>
      <c r="AJ4" s="18"/>
      <c r="AK4" s="18"/>
      <c r="AL4" s="18"/>
    </row>
    <row r="5" spans="1:38" ht="19" x14ac:dyDescent="0.25">
      <c r="A5" s="5" t="s">
        <v>2</v>
      </c>
      <c r="B5" s="1">
        <v>35686000</v>
      </c>
      <c r="C5" s="1">
        <v>54511000</v>
      </c>
      <c r="D5" s="1">
        <v>78511000</v>
      </c>
    </row>
    <row r="6" spans="1:38" ht="20" x14ac:dyDescent="0.25">
      <c r="A6" s="6" t="s">
        <v>3</v>
      </c>
      <c r="B6" s="10">
        <v>60678000</v>
      </c>
      <c r="C6" s="10">
        <v>95680000</v>
      </c>
      <c r="D6" s="10">
        <v>159524000</v>
      </c>
      <c r="J6" s="19" t="s">
        <v>107</v>
      </c>
      <c r="K6" s="20" t="s">
        <v>108</v>
      </c>
      <c r="L6" s="20" t="s">
        <v>109</v>
      </c>
      <c r="M6" s="20" t="s">
        <v>110</v>
      </c>
    </row>
    <row r="7" spans="1:38" ht="19" x14ac:dyDescent="0.25">
      <c r="A7" s="5" t="s">
        <v>4</v>
      </c>
      <c r="B7" s="2">
        <v>0.62970000000000004</v>
      </c>
      <c r="C7" s="2">
        <v>0.6371</v>
      </c>
      <c r="D7" s="2">
        <v>0.67020000000000002</v>
      </c>
      <c r="J7" s="17">
        <f>D7</f>
        <v>0.67020000000000002</v>
      </c>
      <c r="K7" s="21">
        <f>D21</f>
        <v>-0.30980000000000002</v>
      </c>
      <c r="L7" s="21">
        <f>D30</f>
        <v>-0.32229999999999998</v>
      </c>
      <c r="M7" s="21">
        <f>D107/D3</f>
        <v>-0.16708887348499171</v>
      </c>
    </row>
    <row r="8" spans="1:38" ht="19" x14ac:dyDescent="0.25">
      <c r="A8" s="5" t="s">
        <v>5</v>
      </c>
      <c r="B8" s="1">
        <v>20339000</v>
      </c>
      <c r="C8" s="1">
        <v>29212000</v>
      </c>
      <c r="D8" s="1">
        <v>59034000</v>
      </c>
    </row>
    <row r="9" spans="1:38" ht="19" customHeight="1" x14ac:dyDescent="0.25">
      <c r="A9" s="14" t="s">
        <v>94</v>
      </c>
      <c r="B9" s="15">
        <f>B8/B3</f>
        <v>0.21106429787057407</v>
      </c>
      <c r="C9" s="15">
        <f t="shared" ref="C9:D9" si="1">C8/C3</f>
        <v>0.1944990046008083</v>
      </c>
      <c r="D9" s="15">
        <f t="shared" si="1"/>
        <v>0.24800554540298694</v>
      </c>
      <c r="E9" s="15"/>
      <c r="F9" s="15"/>
      <c r="J9" s="19" t="s">
        <v>95</v>
      </c>
      <c r="K9" s="20" t="s">
        <v>96</v>
      </c>
      <c r="L9" s="20" t="s">
        <v>97</v>
      </c>
      <c r="M9" s="20" t="s">
        <v>98</v>
      </c>
    </row>
    <row r="10" spans="1:38" ht="19" x14ac:dyDescent="0.25">
      <c r="A10" s="5" t="s">
        <v>6</v>
      </c>
      <c r="B10" s="1">
        <v>16524000</v>
      </c>
      <c r="C10" s="1">
        <v>27959000</v>
      </c>
      <c r="D10" s="1">
        <v>51564000</v>
      </c>
      <c r="J10" s="17">
        <f>D9</f>
        <v>0.24800554540298694</v>
      </c>
      <c r="K10" s="21">
        <f>D13</f>
        <v>0.75073413573634129</v>
      </c>
      <c r="L10" s="21">
        <f>D80</f>
        <v>0.1982061461549772</v>
      </c>
      <c r="M10" s="21">
        <f>D89</f>
        <v>9.7044552271724743E-3</v>
      </c>
    </row>
    <row r="11" spans="1:38" ht="19" x14ac:dyDescent="0.25">
      <c r="A11" s="5" t="s">
        <v>7</v>
      </c>
      <c r="B11" s="1">
        <v>57348000</v>
      </c>
      <c r="C11" s="1">
        <v>70661000</v>
      </c>
      <c r="D11" s="1">
        <v>127137000</v>
      </c>
    </row>
    <row r="12" spans="1:38" ht="20" x14ac:dyDescent="0.25">
      <c r="A12" s="5" t="s">
        <v>8</v>
      </c>
      <c r="B12" s="1">
        <v>73872000</v>
      </c>
      <c r="C12" s="1">
        <v>98620000</v>
      </c>
      <c r="D12" s="1">
        <v>178701000</v>
      </c>
      <c r="J12" s="19" t="s">
        <v>111</v>
      </c>
      <c r="K12" s="20" t="s">
        <v>112</v>
      </c>
      <c r="L12" s="20" t="s">
        <v>113</v>
      </c>
      <c r="M12" s="20" t="s">
        <v>114</v>
      </c>
    </row>
    <row r="13" spans="1:38" ht="19" x14ac:dyDescent="0.25">
      <c r="A13" s="14" t="s">
        <v>99</v>
      </c>
      <c r="B13" s="15">
        <f>B12/B3</f>
        <v>0.76659333361006188</v>
      </c>
      <c r="C13" s="15">
        <f t="shared" ref="C13:D13" si="2">C12/C3</f>
        <v>0.65663055709063789</v>
      </c>
      <c r="D13" s="15">
        <f t="shared" si="2"/>
        <v>0.75073413573634129</v>
      </c>
      <c r="E13" s="15"/>
      <c r="F13" s="15"/>
      <c r="J13" s="17">
        <f>D28/D72</f>
        <v>-0.15295374843246282</v>
      </c>
      <c r="K13" s="21">
        <f>D28/D54</f>
        <v>-0.11514839507581101</v>
      </c>
      <c r="L13" s="21">
        <f>D22/(D72+D56+D61)</f>
        <v>-0.15592833090435682</v>
      </c>
      <c r="M13" s="22">
        <f>D67/D72</f>
        <v>0.32186896286357392</v>
      </c>
    </row>
    <row r="14" spans="1:38" ht="19" x14ac:dyDescent="0.25">
      <c r="A14" s="5" t="s">
        <v>9</v>
      </c>
      <c r="B14" s="1" t="s">
        <v>91</v>
      </c>
      <c r="C14" s="1" t="s">
        <v>91</v>
      </c>
      <c r="D14" s="1" t="s">
        <v>91</v>
      </c>
    </row>
    <row r="15" spans="1:38" ht="20" x14ac:dyDescent="0.25">
      <c r="A15" s="5" t="s">
        <v>10</v>
      </c>
      <c r="B15" s="1">
        <v>94211000</v>
      </c>
      <c r="C15" s="1">
        <v>127832000</v>
      </c>
      <c r="D15" s="1">
        <v>237735000</v>
      </c>
      <c r="J15" s="19" t="s">
        <v>115</v>
      </c>
      <c r="K15" s="20" t="s">
        <v>116</v>
      </c>
      <c r="L15" s="20" t="s">
        <v>117</v>
      </c>
      <c r="M15" s="20" t="s">
        <v>118</v>
      </c>
    </row>
    <row r="16" spans="1:38" ht="19" x14ac:dyDescent="0.25">
      <c r="A16" s="5" t="s">
        <v>11</v>
      </c>
      <c r="B16" s="1">
        <v>129897000</v>
      </c>
      <c r="C16" s="1">
        <v>182343000</v>
      </c>
      <c r="D16" s="1">
        <v>316246000</v>
      </c>
      <c r="J16" s="26">
        <f>(D35+C35)/2</f>
        <v>-0.30667737895320996</v>
      </c>
      <c r="K16" s="33">
        <f>L101/D3</f>
        <v>19.629248959186675</v>
      </c>
      <c r="L16" s="33">
        <f>L101/D28</f>
        <v>-60.903404319660055</v>
      </c>
      <c r="M16" s="34">
        <f>L101/D107</f>
        <v>-117.47789394815578</v>
      </c>
    </row>
    <row r="17" spans="1:13" ht="19" x14ac:dyDescent="0.25">
      <c r="A17" s="5" t="s">
        <v>12</v>
      </c>
      <c r="B17" s="1" t="s">
        <v>91</v>
      </c>
      <c r="C17" s="1" t="s">
        <v>91</v>
      </c>
      <c r="D17" s="1">
        <v>369000</v>
      </c>
    </row>
    <row r="18" spans="1:13" ht="20" x14ac:dyDescent="0.25">
      <c r="A18" s="5" t="s">
        <v>13</v>
      </c>
      <c r="B18" s="1">
        <v>645000</v>
      </c>
      <c r="C18" s="1">
        <v>1589000</v>
      </c>
      <c r="D18" s="1">
        <v>2773000</v>
      </c>
      <c r="J18" s="19" t="s">
        <v>119</v>
      </c>
      <c r="K18" s="20" t="s">
        <v>157</v>
      </c>
      <c r="L18" s="20" t="s">
        <v>158</v>
      </c>
      <c r="M18" s="20" t="s">
        <v>159</v>
      </c>
    </row>
    <row r="19" spans="1:13" ht="19" x14ac:dyDescent="0.25">
      <c r="A19" s="6" t="s">
        <v>14</v>
      </c>
      <c r="B19" s="10">
        <v>-30713000</v>
      </c>
      <c r="C19" s="10">
        <v>-29626000</v>
      </c>
      <c r="D19" s="10">
        <v>-73742000</v>
      </c>
      <c r="E19" s="35">
        <v>-46000000</v>
      </c>
      <c r="F19" s="35">
        <v>-7000000</v>
      </c>
      <c r="G19" s="35">
        <v>38000000</v>
      </c>
      <c r="H19" s="35">
        <v>142000000</v>
      </c>
      <c r="I19" s="35">
        <v>248000000</v>
      </c>
      <c r="J19" s="27">
        <f>D40-D56-D61</f>
        <v>514093000</v>
      </c>
      <c r="K19" s="33">
        <f>L101/E3</f>
        <v>10.499883766292134</v>
      </c>
      <c r="L19" s="33">
        <f>L101/E28</f>
        <v>-93.448965520000002</v>
      </c>
      <c r="M19" s="34">
        <f>L101/E105</f>
        <v>-36.982796703284983</v>
      </c>
    </row>
    <row r="20" spans="1:13" ht="19" customHeight="1" x14ac:dyDescent="0.25">
      <c r="A20" s="14" t="s">
        <v>100</v>
      </c>
      <c r="B20" s="1"/>
      <c r="C20" s="15">
        <f>(C19/B19)-1</f>
        <v>-3.5392179207501706E-2</v>
      </c>
      <c r="D20" s="15">
        <f>(D19/C19)-1</f>
        <v>1.4890974144332683</v>
      </c>
      <c r="E20" s="16">
        <f t="shared" ref="E20:I20" si="3">(E19/D19)-1</f>
        <v>-0.37620352038187188</v>
      </c>
      <c r="F20" s="16">
        <f t="shared" si="3"/>
        <v>-0.84782608695652173</v>
      </c>
      <c r="G20" s="16">
        <f t="shared" si="3"/>
        <v>-6.4285714285714288</v>
      </c>
      <c r="H20" s="16">
        <f t="shared" si="3"/>
        <v>2.736842105263158</v>
      </c>
      <c r="I20" s="16">
        <f t="shared" si="3"/>
        <v>0.74647887323943651</v>
      </c>
    </row>
    <row r="21" spans="1:13" ht="19" customHeight="1" x14ac:dyDescent="0.25">
      <c r="A21" s="5" t="s">
        <v>15</v>
      </c>
      <c r="B21" s="2">
        <v>-0.31869999999999998</v>
      </c>
      <c r="C21" s="2">
        <v>-0.1973</v>
      </c>
      <c r="D21" s="2">
        <v>-0.30980000000000002</v>
      </c>
      <c r="E21" s="36">
        <f>E19/E3</f>
        <v>-0.10337078651685393</v>
      </c>
      <c r="F21" s="36">
        <f t="shared" ref="F21:I21" si="4">F19/F3</f>
        <v>-1.2836970474967908E-2</v>
      </c>
      <c r="G21" s="36">
        <f t="shared" si="4"/>
        <v>5.6716417910447764E-2</v>
      </c>
      <c r="H21" s="36">
        <f t="shared" si="4"/>
        <v>0.13209302325581396</v>
      </c>
      <c r="I21" s="36">
        <f t="shared" si="4"/>
        <v>0.18168498168498168</v>
      </c>
      <c r="J21" s="40"/>
      <c r="K21" s="40"/>
      <c r="L21" s="19" t="s">
        <v>160</v>
      </c>
      <c r="M21" s="20" t="s">
        <v>161</v>
      </c>
    </row>
    <row r="22" spans="1:13" ht="19" x14ac:dyDescent="0.25">
      <c r="A22" s="6" t="s">
        <v>16</v>
      </c>
      <c r="B22" s="10">
        <v>-33533000</v>
      </c>
      <c r="C22" s="10">
        <v>-32152000</v>
      </c>
      <c r="D22" s="10">
        <v>-78211000</v>
      </c>
      <c r="J22" s="40"/>
      <c r="K22" s="40"/>
      <c r="L22" s="41">
        <f>(-1*D98)/L101</f>
        <v>0</v>
      </c>
      <c r="M22" s="42">
        <f>D107/L101</f>
        <v>-8.5122397618168939E-3</v>
      </c>
    </row>
    <row r="23" spans="1:13" ht="19" x14ac:dyDescent="0.25">
      <c r="A23" s="5" t="s">
        <v>17</v>
      </c>
      <c r="B23" s="2">
        <v>-0.34799999999999998</v>
      </c>
      <c r="C23" s="2">
        <v>-0.21410000000000001</v>
      </c>
      <c r="D23" s="2">
        <v>-0.3286</v>
      </c>
      <c r="J23" s="40"/>
      <c r="K23" s="40"/>
      <c r="L23" s="40"/>
      <c r="M23" s="40"/>
    </row>
    <row r="24" spans="1:13" ht="19" x14ac:dyDescent="0.25">
      <c r="A24" s="5" t="s">
        <v>18</v>
      </c>
      <c r="B24" s="1">
        <v>2175000</v>
      </c>
      <c r="C24" s="1">
        <v>720000</v>
      </c>
      <c r="D24" s="1">
        <v>-121000</v>
      </c>
      <c r="J24" s="40"/>
      <c r="K24" s="40"/>
      <c r="L24" s="40"/>
      <c r="M24" s="40"/>
    </row>
    <row r="25" spans="1:13" ht="19" x14ac:dyDescent="0.25">
      <c r="A25" s="6" t="s">
        <v>19</v>
      </c>
      <c r="B25" s="10">
        <v>-31358000</v>
      </c>
      <c r="C25" s="10">
        <v>-31432000</v>
      </c>
      <c r="D25" s="10">
        <v>-78332000</v>
      </c>
      <c r="J25" s="40"/>
      <c r="K25" s="40"/>
      <c r="L25" s="40"/>
      <c r="M25" s="40"/>
    </row>
    <row r="26" spans="1:13" ht="19" x14ac:dyDescent="0.25">
      <c r="A26" s="5" t="s">
        <v>20</v>
      </c>
      <c r="B26" s="2">
        <v>-0.32540000000000002</v>
      </c>
      <c r="C26" s="2">
        <v>-0.20930000000000001</v>
      </c>
      <c r="D26" s="2">
        <v>-0.3291</v>
      </c>
      <c r="J26" s="40"/>
      <c r="K26" s="40"/>
      <c r="L26" s="40"/>
      <c r="M26" s="40"/>
    </row>
    <row r="27" spans="1:13" ht="19" x14ac:dyDescent="0.25">
      <c r="A27" s="5" t="s">
        <v>21</v>
      </c>
      <c r="B27" s="1">
        <v>452000</v>
      </c>
      <c r="C27" s="1">
        <v>537000</v>
      </c>
      <c r="D27" s="1">
        <v>-165000</v>
      </c>
      <c r="J27" s="40"/>
      <c r="K27" s="40"/>
      <c r="L27" s="40"/>
      <c r="M27" s="40"/>
    </row>
    <row r="28" spans="1:13" ht="20" thickBot="1" x14ac:dyDescent="0.3">
      <c r="A28" s="7" t="s">
        <v>22</v>
      </c>
      <c r="B28" s="11">
        <v>-31810000</v>
      </c>
      <c r="C28" s="11">
        <v>-31752000</v>
      </c>
      <c r="D28" s="11">
        <v>-76719000</v>
      </c>
      <c r="E28" s="37">
        <v>-50000000</v>
      </c>
      <c r="F28" s="37">
        <v>-13000000</v>
      </c>
      <c r="G28" s="37">
        <v>28460000</v>
      </c>
      <c r="H28" s="37">
        <v>144300000</v>
      </c>
      <c r="I28" s="37">
        <v>267000000</v>
      </c>
      <c r="J28" s="40"/>
      <c r="K28" s="40"/>
      <c r="L28" s="40"/>
      <c r="M28" s="40"/>
    </row>
    <row r="29" spans="1:13" ht="20" customHeight="1" thickTop="1" x14ac:dyDescent="0.25">
      <c r="A29" s="14" t="s">
        <v>101</v>
      </c>
      <c r="B29" s="1"/>
      <c r="C29" s="15">
        <f>(C28/B28)-1</f>
        <v>-1.8233259981138561E-3</v>
      </c>
      <c r="D29" s="15">
        <f>(D28/C28)-1</f>
        <v>1.4161942554799696</v>
      </c>
      <c r="E29" s="16">
        <f t="shared" ref="E29:I29" si="5">(E28/D28)-1</f>
        <v>-0.34827096286447945</v>
      </c>
      <c r="F29" s="16">
        <f t="shared" si="5"/>
        <v>-0.74</v>
      </c>
      <c r="G29" s="16">
        <f t="shared" si="5"/>
        <v>-3.1892307692307691</v>
      </c>
      <c r="H29" s="16">
        <f t="shared" si="5"/>
        <v>4.0702740688685877</v>
      </c>
      <c r="I29" s="16">
        <f t="shared" si="5"/>
        <v>0.8503118503118503</v>
      </c>
      <c r="J29" s="40"/>
      <c r="K29" s="40"/>
      <c r="L29" s="40"/>
      <c r="M29" s="40"/>
    </row>
    <row r="30" spans="1:13" ht="19" x14ac:dyDescent="0.25">
      <c r="A30" s="5" t="s">
        <v>23</v>
      </c>
      <c r="B30" s="2">
        <v>-0.3301</v>
      </c>
      <c r="C30" s="2">
        <v>-0.2114</v>
      </c>
      <c r="D30" s="2">
        <v>-0.32229999999999998</v>
      </c>
      <c r="E30" s="38">
        <f>E28/E3</f>
        <v>-0.11235955056179775</v>
      </c>
      <c r="F30" s="38">
        <f t="shared" ref="F30:I30" si="6">F28/F3</f>
        <v>-2.3840088024940399E-2</v>
      </c>
      <c r="G30" s="38">
        <f t="shared" si="6"/>
        <v>4.2477611940298504E-2</v>
      </c>
      <c r="H30" s="38">
        <f t="shared" si="6"/>
        <v>0.13423255813953489</v>
      </c>
      <c r="I30" s="38">
        <f t="shared" si="6"/>
        <v>0.1956043956043956</v>
      </c>
      <c r="J30" s="40"/>
      <c r="K30" s="40"/>
      <c r="L30" s="40"/>
      <c r="M30" s="40"/>
    </row>
    <row r="31" spans="1:13" ht="19" x14ac:dyDescent="0.25">
      <c r="A31" s="5" t="s">
        <v>24</v>
      </c>
      <c r="B31" s="12">
        <v>-0.35</v>
      </c>
      <c r="C31" s="12">
        <v>-0.35</v>
      </c>
      <c r="D31" s="12">
        <v>-2.2000000000000002</v>
      </c>
      <c r="E31" s="39">
        <v>-0.51</v>
      </c>
      <c r="F31" s="39">
        <v>-0.14000000000000001</v>
      </c>
      <c r="G31" s="39">
        <v>0.28999999999999998</v>
      </c>
      <c r="H31" s="39">
        <v>1.48</v>
      </c>
      <c r="I31" s="39">
        <v>2.73</v>
      </c>
      <c r="J31" s="40"/>
      <c r="K31" s="40"/>
      <c r="L31" s="40"/>
      <c r="M31" s="40"/>
    </row>
    <row r="32" spans="1:13" ht="19" x14ac:dyDescent="0.25">
      <c r="A32" s="5" t="s">
        <v>25</v>
      </c>
      <c r="B32" s="12">
        <v>-0.35</v>
      </c>
      <c r="C32" s="12">
        <v>-0.35</v>
      </c>
      <c r="D32" s="12">
        <v>-2.2000000000000002</v>
      </c>
      <c r="J32" s="40"/>
      <c r="K32" s="40"/>
      <c r="L32" s="40"/>
      <c r="M32" s="40"/>
    </row>
    <row r="33" spans="1:13" ht="19" x14ac:dyDescent="0.25">
      <c r="A33" s="5" t="s">
        <v>26</v>
      </c>
      <c r="B33" s="1">
        <v>90255863</v>
      </c>
      <c r="C33" s="1">
        <v>90255863</v>
      </c>
      <c r="D33" s="1">
        <v>34897000</v>
      </c>
      <c r="J33" s="40"/>
      <c r="K33" s="40"/>
      <c r="L33" s="40"/>
      <c r="M33" s="40"/>
    </row>
    <row r="34" spans="1:13" ht="19" x14ac:dyDescent="0.25">
      <c r="A34" s="5" t="s">
        <v>27</v>
      </c>
      <c r="B34" s="1">
        <v>90255863</v>
      </c>
      <c r="C34" s="1">
        <v>90255863</v>
      </c>
      <c r="D34" s="1">
        <v>34897000</v>
      </c>
      <c r="J34" s="40"/>
      <c r="K34" s="40"/>
      <c r="L34" s="40"/>
      <c r="M34" s="40"/>
    </row>
    <row r="35" spans="1:13" ht="20" customHeight="1" x14ac:dyDescent="0.25">
      <c r="A35" s="14" t="s">
        <v>102</v>
      </c>
      <c r="B35" s="1"/>
      <c r="C35" s="23">
        <f>(C34-B34)/B34</f>
        <v>0</v>
      </c>
      <c r="D35" s="23">
        <f t="shared" ref="D35" si="7">(D34-C34)/C34</f>
        <v>-0.61335475790641991</v>
      </c>
    </row>
    <row r="36" spans="1:13" ht="19" x14ac:dyDescent="0.25">
      <c r="A36" s="5" t="s">
        <v>28</v>
      </c>
      <c r="B36" s="13" t="s">
        <v>92</v>
      </c>
      <c r="C36" s="13" t="s">
        <v>92</v>
      </c>
      <c r="D36" s="13" t="s">
        <v>92</v>
      </c>
    </row>
    <row r="37" spans="1:13" ht="21" x14ac:dyDescent="0.25">
      <c r="A37" s="4" t="s">
        <v>29</v>
      </c>
      <c r="B37" s="9" t="s">
        <v>90</v>
      </c>
      <c r="C37" s="9" t="s">
        <v>90</v>
      </c>
      <c r="D37" s="9" t="s">
        <v>90</v>
      </c>
    </row>
    <row r="38" spans="1:13" ht="19" x14ac:dyDescent="0.25">
      <c r="A38" s="5" t="s">
        <v>30</v>
      </c>
      <c r="B38" s="1">
        <v>6740000</v>
      </c>
      <c r="C38" s="1">
        <v>28509000</v>
      </c>
      <c r="D38" s="1">
        <v>478937000</v>
      </c>
    </row>
    <row r="39" spans="1:13" ht="19" x14ac:dyDescent="0.25">
      <c r="A39" s="5" t="s">
        <v>31</v>
      </c>
      <c r="B39" s="1">
        <v>85223000</v>
      </c>
      <c r="C39" s="1">
        <v>58004000</v>
      </c>
      <c r="D39" s="1">
        <v>35156000</v>
      </c>
    </row>
    <row r="40" spans="1:13" ht="19" x14ac:dyDescent="0.25">
      <c r="A40" s="5" t="s">
        <v>32</v>
      </c>
      <c r="B40" s="1">
        <v>91963000</v>
      </c>
      <c r="C40" s="1">
        <v>86513000</v>
      </c>
      <c r="D40" s="1">
        <v>514093000</v>
      </c>
    </row>
    <row r="41" spans="1:13" ht="19" x14ac:dyDescent="0.25">
      <c r="A41" s="5" t="s">
        <v>33</v>
      </c>
      <c r="B41" s="1">
        <v>23270000</v>
      </c>
      <c r="C41" s="1">
        <v>34771000</v>
      </c>
      <c r="D41" s="1">
        <v>64504000</v>
      </c>
    </row>
    <row r="42" spans="1:13" ht="19" x14ac:dyDescent="0.25">
      <c r="A42" s="5" t="s">
        <v>34</v>
      </c>
      <c r="B42" s="1" t="s">
        <v>91</v>
      </c>
      <c r="C42" s="1" t="s">
        <v>91</v>
      </c>
      <c r="D42" s="1" t="s">
        <v>91</v>
      </c>
    </row>
    <row r="43" spans="1:13" ht="19" x14ac:dyDescent="0.25">
      <c r="A43" s="5" t="s">
        <v>35</v>
      </c>
      <c r="B43" s="1">
        <v>11741000</v>
      </c>
      <c r="C43" s="1">
        <v>12674000</v>
      </c>
      <c r="D43" s="1">
        <v>29588000</v>
      </c>
    </row>
    <row r="44" spans="1:13" ht="19" x14ac:dyDescent="0.25">
      <c r="A44" s="6" t="s">
        <v>36</v>
      </c>
      <c r="B44" s="10">
        <v>126974000</v>
      </c>
      <c r="C44" s="10">
        <v>133958000</v>
      </c>
      <c r="D44" s="10">
        <v>608185000</v>
      </c>
    </row>
    <row r="45" spans="1:13" ht="19" x14ac:dyDescent="0.25">
      <c r="A45" s="5" t="s">
        <v>37</v>
      </c>
      <c r="B45" s="1">
        <v>2550000</v>
      </c>
      <c r="C45" s="1">
        <v>5486000</v>
      </c>
      <c r="D45" s="1">
        <v>7393000</v>
      </c>
    </row>
    <row r="46" spans="1:13" ht="19" x14ac:dyDescent="0.25">
      <c r="A46" s="5" t="s">
        <v>38</v>
      </c>
      <c r="B46" s="1" t="s">
        <v>91</v>
      </c>
      <c r="C46" s="1" t="s">
        <v>91</v>
      </c>
      <c r="D46" s="1" t="s">
        <v>91</v>
      </c>
    </row>
    <row r="47" spans="1:13" ht="19" x14ac:dyDescent="0.25">
      <c r="A47" s="5" t="s">
        <v>39</v>
      </c>
      <c r="B47" s="1" t="s">
        <v>91</v>
      </c>
      <c r="C47" s="1" t="s">
        <v>91</v>
      </c>
      <c r="D47" s="1" t="s">
        <v>91</v>
      </c>
    </row>
    <row r="48" spans="1:13" ht="19" x14ac:dyDescent="0.25">
      <c r="A48" s="5" t="s">
        <v>40</v>
      </c>
      <c r="B48" s="1" t="s">
        <v>91</v>
      </c>
      <c r="C48" s="1" t="s">
        <v>91</v>
      </c>
      <c r="D48" s="1" t="s">
        <v>91</v>
      </c>
    </row>
    <row r="49" spans="1:4" ht="19" x14ac:dyDescent="0.25">
      <c r="A49" s="5" t="s">
        <v>41</v>
      </c>
      <c r="B49" s="1" t="s">
        <v>91</v>
      </c>
      <c r="C49" s="1" t="s">
        <v>91</v>
      </c>
      <c r="D49" s="1" t="s">
        <v>91</v>
      </c>
    </row>
    <row r="50" spans="1:4" ht="19" x14ac:dyDescent="0.25">
      <c r="A50" s="5" t="s">
        <v>42</v>
      </c>
      <c r="B50" s="1" t="s">
        <v>91</v>
      </c>
      <c r="C50" s="1" t="s">
        <v>91</v>
      </c>
      <c r="D50" s="1" t="s">
        <v>91</v>
      </c>
    </row>
    <row r="51" spans="1:4" ht="19" x14ac:dyDescent="0.25">
      <c r="A51" s="5" t="s">
        <v>43</v>
      </c>
      <c r="B51" s="1">
        <v>23546000</v>
      </c>
      <c r="C51" s="1">
        <v>31950000</v>
      </c>
      <c r="D51" s="1">
        <v>50684000</v>
      </c>
    </row>
    <row r="52" spans="1:4" ht="19" x14ac:dyDescent="0.25">
      <c r="A52" s="5" t="s">
        <v>44</v>
      </c>
      <c r="B52" s="1">
        <v>26096000</v>
      </c>
      <c r="C52" s="1">
        <v>37436000</v>
      </c>
      <c r="D52" s="1">
        <v>58077000</v>
      </c>
    </row>
    <row r="53" spans="1:4" ht="19" x14ac:dyDescent="0.25">
      <c r="A53" s="5" t="s">
        <v>45</v>
      </c>
      <c r="B53" s="1" t="s">
        <v>91</v>
      </c>
      <c r="C53" s="1" t="s">
        <v>91</v>
      </c>
      <c r="D53" s="1" t="s">
        <v>91</v>
      </c>
    </row>
    <row r="54" spans="1:4" ht="20" thickBot="1" x14ac:dyDescent="0.3">
      <c r="A54" s="7" t="s">
        <v>46</v>
      </c>
      <c r="B54" s="11">
        <v>153070000</v>
      </c>
      <c r="C54" s="11">
        <v>171394000</v>
      </c>
      <c r="D54" s="11">
        <v>666262000</v>
      </c>
    </row>
    <row r="55" spans="1:4" ht="20" thickTop="1" x14ac:dyDescent="0.25">
      <c r="A55" s="5" t="s">
        <v>47</v>
      </c>
      <c r="B55" s="1">
        <v>1211000</v>
      </c>
      <c r="C55" s="1">
        <v>439000</v>
      </c>
      <c r="D55" s="1">
        <v>2083000</v>
      </c>
    </row>
    <row r="56" spans="1:4" ht="19" x14ac:dyDescent="0.25">
      <c r="A56" s="5" t="s">
        <v>48</v>
      </c>
      <c r="B56" s="1" t="s">
        <v>91</v>
      </c>
      <c r="C56" s="1" t="s">
        <v>91</v>
      </c>
      <c r="D56" s="1">
        <v>0</v>
      </c>
    </row>
    <row r="57" spans="1:4" ht="19" x14ac:dyDescent="0.25">
      <c r="A57" s="5" t="s">
        <v>49</v>
      </c>
      <c r="B57" s="1" t="s">
        <v>91</v>
      </c>
      <c r="C57" s="1" t="s">
        <v>91</v>
      </c>
      <c r="D57" s="1" t="s">
        <v>91</v>
      </c>
    </row>
    <row r="58" spans="1:4" ht="19" x14ac:dyDescent="0.25">
      <c r="A58" s="5" t="s">
        <v>50</v>
      </c>
      <c r="B58" s="1">
        <v>51411000</v>
      </c>
      <c r="C58" s="1">
        <v>74789000</v>
      </c>
      <c r="D58" s="1">
        <v>126260000</v>
      </c>
    </row>
    <row r="59" spans="1:4" ht="19" x14ac:dyDescent="0.25">
      <c r="A59" s="5" t="s">
        <v>51</v>
      </c>
      <c r="B59" s="1">
        <v>11643000</v>
      </c>
      <c r="C59" s="1">
        <v>25904000</v>
      </c>
      <c r="D59" s="1">
        <v>31623000</v>
      </c>
    </row>
    <row r="60" spans="1:4" ht="19" x14ac:dyDescent="0.25">
      <c r="A60" s="6" t="s">
        <v>52</v>
      </c>
      <c r="B60" s="10">
        <v>64265000</v>
      </c>
      <c r="C60" s="10">
        <v>101132000</v>
      </c>
      <c r="D60" s="10">
        <v>159966000</v>
      </c>
    </row>
    <row r="61" spans="1:4" ht="19" x14ac:dyDescent="0.25">
      <c r="A61" s="5" t="s">
        <v>53</v>
      </c>
      <c r="B61" s="1" t="s">
        <v>91</v>
      </c>
      <c r="C61" s="1" t="s">
        <v>91</v>
      </c>
      <c r="D61" s="1">
        <v>0</v>
      </c>
    </row>
    <row r="62" spans="1:4" ht="19" x14ac:dyDescent="0.25">
      <c r="A62" s="5" t="s">
        <v>50</v>
      </c>
      <c r="B62" s="1" t="s">
        <v>91</v>
      </c>
      <c r="C62" s="1" t="s">
        <v>91</v>
      </c>
      <c r="D62" s="1" t="s">
        <v>91</v>
      </c>
    </row>
    <row r="63" spans="1:4" ht="19" x14ac:dyDescent="0.25">
      <c r="A63" s="5" t="s">
        <v>54</v>
      </c>
      <c r="B63" s="1">
        <v>20000</v>
      </c>
      <c r="C63" s="1">
        <v>80000</v>
      </c>
      <c r="D63" s="1" t="s">
        <v>91</v>
      </c>
    </row>
    <row r="64" spans="1:4" ht="19" x14ac:dyDescent="0.25">
      <c r="A64" s="5" t="s">
        <v>55</v>
      </c>
      <c r="B64" s="1">
        <v>175661000</v>
      </c>
      <c r="C64" s="1">
        <v>178689000</v>
      </c>
      <c r="D64" s="1">
        <v>1478000</v>
      </c>
    </row>
    <row r="65" spans="1:4" ht="19" x14ac:dyDescent="0.25">
      <c r="A65" s="5" t="s">
        <v>56</v>
      </c>
      <c r="B65" s="1">
        <v>175681000</v>
      </c>
      <c r="C65" s="1">
        <v>178769000</v>
      </c>
      <c r="D65" s="1">
        <v>1478000</v>
      </c>
    </row>
    <row r="66" spans="1:4" ht="19" x14ac:dyDescent="0.25">
      <c r="A66" s="5" t="s">
        <v>57</v>
      </c>
      <c r="B66" s="1" t="s">
        <v>91</v>
      </c>
      <c r="C66" s="1" t="s">
        <v>91</v>
      </c>
      <c r="D66" s="1" t="s">
        <v>91</v>
      </c>
    </row>
    <row r="67" spans="1:4" ht="19" x14ac:dyDescent="0.25">
      <c r="A67" s="6" t="s">
        <v>58</v>
      </c>
      <c r="B67" s="10">
        <v>239946000</v>
      </c>
      <c r="C67" s="10">
        <v>279901000</v>
      </c>
      <c r="D67" s="10">
        <v>161444000</v>
      </c>
    </row>
    <row r="68" spans="1:4" ht="19" x14ac:dyDescent="0.25">
      <c r="A68" s="5" t="s">
        <v>59</v>
      </c>
      <c r="B68" s="1" t="s">
        <v>91</v>
      </c>
      <c r="C68" s="1" t="s">
        <v>91</v>
      </c>
      <c r="D68" s="1">
        <v>9000</v>
      </c>
    </row>
    <row r="69" spans="1:4" ht="19" x14ac:dyDescent="0.25">
      <c r="A69" s="5" t="s">
        <v>60</v>
      </c>
      <c r="B69" s="1">
        <v>-106490000</v>
      </c>
      <c r="C69" s="1">
        <v>-138242000</v>
      </c>
      <c r="D69" s="1">
        <v>-214961000</v>
      </c>
    </row>
    <row r="70" spans="1:4" ht="19" x14ac:dyDescent="0.25">
      <c r="A70" s="5" t="s">
        <v>61</v>
      </c>
      <c r="B70" s="1">
        <v>34000</v>
      </c>
      <c r="C70" s="1">
        <v>-42000</v>
      </c>
      <c r="D70" s="1">
        <v>-640000</v>
      </c>
    </row>
    <row r="71" spans="1:4" ht="19" x14ac:dyDescent="0.25">
      <c r="A71" s="5" t="s">
        <v>62</v>
      </c>
      <c r="B71" s="1">
        <v>19580000</v>
      </c>
      <c r="C71" s="1">
        <v>29777000</v>
      </c>
      <c r="D71" s="1">
        <v>717175000</v>
      </c>
    </row>
    <row r="72" spans="1:4" ht="19" x14ac:dyDescent="0.25">
      <c r="A72" s="6" t="s">
        <v>63</v>
      </c>
      <c r="B72" s="10">
        <v>-86876000</v>
      </c>
      <c r="C72" s="10">
        <v>-108507000</v>
      </c>
      <c r="D72" s="10">
        <v>501583000</v>
      </c>
    </row>
    <row r="73" spans="1:4" ht="20" thickBot="1" x14ac:dyDescent="0.3">
      <c r="A73" s="7" t="s">
        <v>64</v>
      </c>
      <c r="B73" s="11">
        <v>153070000</v>
      </c>
      <c r="C73" s="11">
        <v>171394000</v>
      </c>
      <c r="D73" s="11">
        <v>663027000</v>
      </c>
    </row>
    <row r="74" spans="1:4" ht="20" thickTop="1" x14ac:dyDescent="0.25">
      <c r="A74" s="5" t="s">
        <v>28</v>
      </c>
      <c r="B74" s="13" t="s">
        <v>92</v>
      </c>
      <c r="C74" s="13" t="s">
        <v>92</v>
      </c>
      <c r="D74" s="13" t="s">
        <v>92</v>
      </c>
    </row>
    <row r="75" spans="1:4" ht="21" x14ac:dyDescent="0.25">
      <c r="A75" s="4" t="s">
        <v>65</v>
      </c>
      <c r="B75" s="9" t="s">
        <v>90</v>
      </c>
      <c r="C75" s="9" t="s">
        <v>90</v>
      </c>
      <c r="D75" s="9" t="s">
        <v>90</v>
      </c>
    </row>
    <row r="76" spans="1:4" ht="19" x14ac:dyDescent="0.25">
      <c r="A76" s="5" t="s">
        <v>66</v>
      </c>
      <c r="B76" s="1">
        <v>-31810000</v>
      </c>
      <c r="C76" s="1">
        <v>-31752000</v>
      </c>
      <c r="D76" s="1">
        <v>-76719000</v>
      </c>
    </row>
    <row r="77" spans="1:4" ht="19" x14ac:dyDescent="0.25">
      <c r="A77" s="5" t="s">
        <v>13</v>
      </c>
      <c r="B77" s="1">
        <v>645000</v>
      </c>
      <c r="C77" s="1">
        <v>1589000</v>
      </c>
      <c r="D77" s="1">
        <v>2773000</v>
      </c>
    </row>
    <row r="78" spans="1:4" ht="19" x14ac:dyDescent="0.25">
      <c r="A78" s="5" t="s">
        <v>67</v>
      </c>
      <c r="B78" s="1">
        <v>57000</v>
      </c>
      <c r="C78" s="1">
        <v>60000</v>
      </c>
      <c r="D78" s="1">
        <v>-80000</v>
      </c>
    </row>
    <row r="79" spans="1:4" ht="19" x14ac:dyDescent="0.25">
      <c r="A79" s="5" t="s">
        <v>68</v>
      </c>
      <c r="B79" s="1">
        <v>12408000</v>
      </c>
      <c r="C79" s="1">
        <v>7540000</v>
      </c>
      <c r="D79" s="1">
        <v>47180000</v>
      </c>
    </row>
    <row r="80" spans="1:4" ht="19" x14ac:dyDescent="0.25">
      <c r="A80" s="14" t="s">
        <v>103</v>
      </c>
      <c r="B80" s="15">
        <f t="shared" ref="B80:D80" si="8">B79/B3</f>
        <v>0.12876177825744053</v>
      </c>
      <c r="C80" s="15">
        <f t="shared" si="8"/>
        <v>5.0202741842054449E-2</v>
      </c>
      <c r="D80" s="15">
        <f t="shared" si="8"/>
        <v>0.1982061461549772</v>
      </c>
    </row>
    <row r="81" spans="1:12" ht="19" x14ac:dyDescent="0.25">
      <c r="A81" s="5" t="s">
        <v>69</v>
      </c>
      <c r="B81" s="1">
        <v>5216000</v>
      </c>
      <c r="C81" s="1">
        <v>4663000</v>
      </c>
      <c r="D81" s="1">
        <v>-25658000</v>
      </c>
    </row>
    <row r="82" spans="1:12" ht="19" x14ac:dyDescent="0.25">
      <c r="A82" s="5" t="s">
        <v>70</v>
      </c>
      <c r="B82" s="1">
        <v>-12589000</v>
      </c>
      <c r="C82" s="1">
        <v>-12354000</v>
      </c>
      <c r="D82" s="1">
        <v>-29821000</v>
      </c>
    </row>
    <row r="83" spans="1:12" ht="21" x14ac:dyDescent="0.25">
      <c r="A83" s="5" t="s">
        <v>34</v>
      </c>
      <c r="B83" s="1" t="s">
        <v>91</v>
      </c>
      <c r="C83" s="1" t="s">
        <v>91</v>
      </c>
      <c r="D83" s="1" t="s">
        <v>91</v>
      </c>
      <c r="K83" s="67" t="s">
        <v>120</v>
      </c>
      <c r="L83" s="68"/>
    </row>
    <row r="84" spans="1:12" ht="19" x14ac:dyDescent="0.25">
      <c r="A84" s="5" t="s">
        <v>47</v>
      </c>
      <c r="B84" s="1">
        <v>-2551000</v>
      </c>
      <c r="C84" s="1">
        <v>-776000</v>
      </c>
      <c r="D84" s="1">
        <v>1649000</v>
      </c>
      <c r="K84" s="65" t="s">
        <v>121</v>
      </c>
      <c r="L84" s="65"/>
    </row>
    <row r="85" spans="1:12" ht="20" x14ac:dyDescent="0.25">
      <c r="A85" s="5" t="s">
        <v>71</v>
      </c>
      <c r="B85" s="1">
        <v>13858000</v>
      </c>
      <c r="C85" s="1">
        <v>3409000</v>
      </c>
      <c r="D85" s="1">
        <v>19504000</v>
      </c>
      <c r="K85" s="43" t="s">
        <v>122</v>
      </c>
      <c r="L85" s="44">
        <f>D17</f>
        <v>369000</v>
      </c>
    </row>
    <row r="86" spans="1:12" ht="20" x14ac:dyDescent="0.25">
      <c r="A86" s="5" t="s">
        <v>72</v>
      </c>
      <c r="B86" s="1">
        <v>6119000</v>
      </c>
      <c r="C86" s="1">
        <v>11820000</v>
      </c>
      <c r="D86" s="1">
        <v>17106000</v>
      </c>
      <c r="K86" s="43" t="s">
        <v>123</v>
      </c>
      <c r="L86" s="44">
        <f>D56</f>
        <v>0</v>
      </c>
    </row>
    <row r="87" spans="1:12" ht="20" x14ac:dyDescent="0.25">
      <c r="A87" s="6" t="s">
        <v>73</v>
      </c>
      <c r="B87" s="10">
        <v>-7365000</v>
      </c>
      <c r="C87" s="10">
        <v>-6080000</v>
      </c>
      <c r="D87" s="10">
        <v>-35398000</v>
      </c>
      <c r="K87" s="43" t="s">
        <v>124</v>
      </c>
      <c r="L87" s="44">
        <f>D61</f>
        <v>0</v>
      </c>
    </row>
    <row r="88" spans="1:12" ht="20" x14ac:dyDescent="0.25">
      <c r="A88" s="5" t="s">
        <v>74</v>
      </c>
      <c r="B88" s="1">
        <v>-1724000</v>
      </c>
      <c r="C88" s="1">
        <v>-2466000</v>
      </c>
      <c r="D88" s="1">
        <v>-2310000</v>
      </c>
      <c r="K88" s="45" t="s">
        <v>125</v>
      </c>
      <c r="L88" s="46" t="e">
        <f>L85/(L86+L87)</f>
        <v>#DIV/0!</v>
      </c>
    </row>
    <row r="89" spans="1:12" ht="20" customHeight="1" x14ac:dyDescent="0.25">
      <c r="A89" s="14" t="s">
        <v>104</v>
      </c>
      <c r="B89" s="15">
        <f t="shared" ref="B89:D89" si="9">(-1*B88)/B3</f>
        <v>1.7890498526420655E-2</v>
      </c>
      <c r="C89" s="15">
        <f t="shared" si="9"/>
        <v>1.6419093021552558E-2</v>
      </c>
      <c r="D89" s="15">
        <f t="shared" si="9"/>
        <v>9.7044552271724743E-3</v>
      </c>
      <c r="K89" s="43" t="s">
        <v>105</v>
      </c>
      <c r="L89" s="44">
        <f>D27</f>
        <v>-165000</v>
      </c>
    </row>
    <row r="90" spans="1:12" ht="20" x14ac:dyDescent="0.25">
      <c r="A90" s="5" t="s">
        <v>75</v>
      </c>
      <c r="B90" s="1" t="s">
        <v>91</v>
      </c>
      <c r="C90" s="1" t="s">
        <v>91</v>
      </c>
      <c r="D90" s="1" t="s">
        <v>91</v>
      </c>
      <c r="K90" s="43" t="s">
        <v>19</v>
      </c>
      <c r="L90" s="44">
        <f>D25</f>
        <v>-78332000</v>
      </c>
    </row>
    <row r="91" spans="1:12" ht="20" x14ac:dyDescent="0.25">
      <c r="A91" s="5" t="s">
        <v>76</v>
      </c>
      <c r="B91" s="1">
        <v>-123130000</v>
      </c>
      <c r="C91" s="1">
        <v>-59418000</v>
      </c>
      <c r="D91" s="1">
        <v>-36894000</v>
      </c>
      <c r="K91" s="45" t="s">
        <v>126</v>
      </c>
      <c r="L91" s="46">
        <f>L89/L90</f>
        <v>2.1064188326609815E-3</v>
      </c>
    </row>
    <row r="92" spans="1:12" ht="20" x14ac:dyDescent="0.25">
      <c r="A92" s="5" t="s">
        <v>77</v>
      </c>
      <c r="B92" s="1">
        <v>38450000</v>
      </c>
      <c r="C92" s="1">
        <v>86242000</v>
      </c>
      <c r="D92" s="1">
        <v>59309000</v>
      </c>
      <c r="K92" s="45" t="s">
        <v>127</v>
      </c>
      <c r="L92" s="46">
        <f>0</f>
        <v>0</v>
      </c>
    </row>
    <row r="93" spans="1:12" ht="19" x14ac:dyDescent="0.25">
      <c r="A93" s="5" t="s">
        <v>78</v>
      </c>
      <c r="B93" s="1">
        <v>-830000</v>
      </c>
      <c r="C93" s="1">
        <v>-1886000</v>
      </c>
      <c r="D93" s="1">
        <v>-2065000</v>
      </c>
      <c r="K93" s="65" t="s">
        <v>128</v>
      </c>
      <c r="L93" s="65"/>
    </row>
    <row r="94" spans="1:12" ht="20" x14ac:dyDescent="0.25">
      <c r="A94" s="6" t="s">
        <v>79</v>
      </c>
      <c r="B94" s="10">
        <v>-87234000</v>
      </c>
      <c r="C94" s="10">
        <v>22472000</v>
      </c>
      <c r="D94" s="10">
        <v>18040000</v>
      </c>
      <c r="K94" s="43" t="s">
        <v>129</v>
      </c>
      <c r="L94" s="47">
        <f>[1]Treasuries!$C$8</f>
        <v>4.2880000000000001E-2</v>
      </c>
    </row>
    <row r="95" spans="1:12" ht="20" x14ac:dyDescent="0.25">
      <c r="A95" s="5" t="s">
        <v>80</v>
      </c>
      <c r="B95" s="1" t="s">
        <v>91</v>
      </c>
      <c r="C95" s="1" t="s">
        <v>91</v>
      </c>
      <c r="D95" s="1" t="s">
        <v>91</v>
      </c>
      <c r="K95" s="43" t="s">
        <v>130</v>
      </c>
      <c r="L95" s="48" cm="1">
        <f t="array" ref="L95">_FV(A1,"Beta")</f>
        <v>2.1659999999999999</v>
      </c>
    </row>
    <row r="96" spans="1:12" ht="20" x14ac:dyDescent="0.25">
      <c r="A96" s="5" t="s">
        <v>81</v>
      </c>
      <c r="B96" s="1" t="s">
        <v>91</v>
      </c>
      <c r="C96" s="1" t="s">
        <v>91</v>
      </c>
      <c r="D96" s="1">
        <v>462260000</v>
      </c>
      <c r="K96" s="43" t="s">
        <v>131</v>
      </c>
      <c r="L96" s="47">
        <v>8.4000000000000005E-2</v>
      </c>
    </row>
    <row r="97" spans="1:12" ht="20" x14ac:dyDescent="0.25">
      <c r="A97" s="5" t="s">
        <v>82</v>
      </c>
      <c r="B97" s="1" t="s">
        <v>91</v>
      </c>
      <c r="C97" s="1">
        <v>-204000</v>
      </c>
      <c r="D97" s="1" t="s">
        <v>91</v>
      </c>
      <c r="K97" s="45" t="s">
        <v>132</v>
      </c>
      <c r="L97" s="46">
        <f>(L94)+((L95)*(L96-L94))</f>
        <v>0.13194591999999999</v>
      </c>
    </row>
    <row r="98" spans="1:12" ht="19" x14ac:dyDescent="0.25">
      <c r="A98" s="5" t="s">
        <v>83</v>
      </c>
      <c r="B98" s="1" t="s">
        <v>91</v>
      </c>
      <c r="C98" s="1" t="s">
        <v>91</v>
      </c>
      <c r="D98" s="1">
        <v>0</v>
      </c>
      <c r="K98" s="65" t="s">
        <v>133</v>
      </c>
      <c r="L98" s="65"/>
    </row>
    <row r="99" spans="1:12" ht="20" x14ac:dyDescent="0.25">
      <c r="A99" s="5" t="s">
        <v>84</v>
      </c>
      <c r="B99" s="1">
        <v>1257000</v>
      </c>
      <c r="C99" s="1">
        <v>5070000</v>
      </c>
      <c r="D99" s="1">
        <v>5650000</v>
      </c>
      <c r="K99" s="43" t="s">
        <v>134</v>
      </c>
      <c r="L99" s="44">
        <f>L86+L87</f>
        <v>0</v>
      </c>
    </row>
    <row r="100" spans="1:12" ht="20" x14ac:dyDescent="0.25">
      <c r="A100" s="6" t="s">
        <v>85</v>
      </c>
      <c r="B100" s="10">
        <v>1257000</v>
      </c>
      <c r="C100" s="10">
        <v>4866000</v>
      </c>
      <c r="D100" s="10">
        <v>467910000</v>
      </c>
      <c r="K100" s="45" t="s">
        <v>135</v>
      </c>
      <c r="L100" s="46">
        <f>L99/L103</f>
        <v>0</v>
      </c>
    </row>
    <row r="101" spans="1:12" ht="20" x14ac:dyDescent="0.25">
      <c r="A101" s="5" t="s">
        <v>86</v>
      </c>
      <c r="B101" s="1">
        <v>15000</v>
      </c>
      <c r="C101" s="1">
        <v>158000</v>
      </c>
      <c r="D101" s="1">
        <v>-597000</v>
      </c>
      <c r="K101" s="43" t="s">
        <v>136</v>
      </c>
      <c r="L101" s="49" cm="1">
        <f t="array" ref="L101">_FV(A1,"Market cap",TRUE)</f>
        <v>4672448276</v>
      </c>
    </row>
    <row r="102" spans="1:12" ht="20" x14ac:dyDescent="0.25">
      <c r="A102" s="6" t="s">
        <v>87</v>
      </c>
      <c r="B102" s="10">
        <v>-93327000</v>
      </c>
      <c r="C102" s="10">
        <v>21416000</v>
      </c>
      <c r="D102" s="10">
        <v>449955000</v>
      </c>
      <c r="K102" s="45" t="s">
        <v>137</v>
      </c>
      <c r="L102" s="46">
        <f>L101/L103</f>
        <v>1</v>
      </c>
    </row>
    <row r="103" spans="1:12" ht="20" x14ac:dyDescent="0.25">
      <c r="A103" s="5" t="s">
        <v>88</v>
      </c>
      <c r="B103" s="1">
        <v>104929000</v>
      </c>
      <c r="C103" s="1">
        <v>11602000</v>
      </c>
      <c r="D103" s="1">
        <v>33018000</v>
      </c>
      <c r="K103" s="45" t="s">
        <v>138</v>
      </c>
      <c r="L103" s="50">
        <f>L99+L101</f>
        <v>4672448276</v>
      </c>
    </row>
    <row r="104" spans="1:12" ht="20" thickBot="1" x14ac:dyDescent="0.3">
      <c r="A104" s="7" t="s">
        <v>89</v>
      </c>
      <c r="B104" s="11">
        <v>11602000</v>
      </c>
      <c r="C104" s="11">
        <v>33018000</v>
      </c>
      <c r="D104" s="11">
        <v>482973000</v>
      </c>
      <c r="K104" s="65" t="s">
        <v>139</v>
      </c>
      <c r="L104" s="65"/>
    </row>
    <row r="105" spans="1:12" ht="21" thickTop="1" x14ac:dyDescent="0.25">
      <c r="A105" s="14" t="s">
        <v>162</v>
      </c>
      <c r="B105" s="1">
        <f t="shared" ref="B105:C105" si="10">(B22*(1-0.2))+B77+B88+B81</f>
        <v>-22689400</v>
      </c>
      <c r="C105" s="1">
        <f t="shared" si="10"/>
        <v>-21935600</v>
      </c>
      <c r="D105" s="1">
        <f>(D22*(1-0.2))+D77+D88+D81</f>
        <v>-87763800</v>
      </c>
      <c r="E105" s="28">
        <f>D105*(1+$L$106)</f>
        <v>-126341128.64657883</v>
      </c>
      <c r="F105" s="28">
        <f t="shared" ref="F105:I105" si="11">E105*(1+$L$106)</f>
        <v>-181875451.92541096</v>
      </c>
      <c r="G105" s="28">
        <f t="shared" si="11"/>
        <v>-261820361.80478752</v>
      </c>
      <c r="H105" s="28">
        <f t="shared" si="11"/>
        <v>-376905740.32884258</v>
      </c>
      <c r="I105" s="28">
        <f t="shared" si="11"/>
        <v>-542577880.93177748</v>
      </c>
      <c r="J105" s="29" t="s">
        <v>165</v>
      </c>
      <c r="K105" s="51" t="s">
        <v>106</v>
      </c>
      <c r="L105" s="52">
        <f>(L100*L92)+(L102*L97)</f>
        <v>0.13194591999999999</v>
      </c>
    </row>
    <row r="106" spans="1:12" ht="19" x14ac:dyDescent="0.25">
      <c r="A106" s="14" t="s">
        <v>163</v>
      </c>
      <c r="B106" s="1"/>
      <c r="C106" s="15">
        <f>(C107/B107)-1</f>
        <v>5.1718923278556206E-2</v>
      </c>
      <c r="D106" s="15">
        <f>(D107/C107)-1</f>
        <v>2.8125958588957056</v>
      </c>
      <c r="E106" s="31">
        <v>-27000000</v>
      </c>
      <c r="F106" s="31">
        <v>14000000</v>
      </c>
      <c r="G106" s="31">
        <v>65000000</v>
      </c>
      <c r="H106" s="31">
        <v>221600000</v>
      </c>
      <c r="I106" s="31">
        <v>270000000</v>
      </c>
      <c r="J106" s="29" t="s">
        <v>166</v>
      </c>
      <c r="K106" s="53" t="s">
        <v>140</v>
      </c>
      <c r="L106" s="54">
        <f>(SUM(E4:I4)/5)</f>
        <v>0.43955854972755082</v>
      </c>
    </row>
    <row r="107" spans="1:12" ht="19" x14ac:dyDescent="0.25">
      <c r="A107" s="64" t="s">
        <v>164</v>
      </c>
      <c r="B107" s="1">
        <v>-9919000</v>
      </c>
      <c r="C107" s="1">
        <v>-10432000</v>
      </c>
      <c r="D107" s="1">
        <v>-39773000</v>
      </c>
      <c r="E107" s="29"/>
      <c r="F107" s="29"/>
      <c r="G107" s="29"/>
      <c r="H107" s="29"/>
      <c r="I107" s="32">
        <f>I106*(1+L107)/(L108-L107)</f>
        <v>2587756503.4739051</v>
      </c>
      <c r="J107" s="30" t="s">
        <v>141</v>
      </c>
      <c r="K107" s="55" t="s">
        <v>142</v>
      </c>
      <c r="L107" s="56">
        <v>2.5000000000000001E-2</v>
      </c>
    </row>
    <row r="108" spans="1:12" ht="19" x14ac:dyDescent="0.25">
      <c r="E108" s="32">
        <f t="shared" ref="E108:H108" si="12">E107+E106</f>
        <v>-27000000</v>
      </c>
      <c r="F108" s="32">
        <f t="shared" si="12"/>
        <v>14000000</v>
      </c>
      <c r="G108" s="32">
        <f t="shared" si="12"/>
        <v>65000000</v>
      </c>
      <c r="H108" s="32">
        <f t="shared" si="12"/>
        <v>221600000</v>
      </c>
      <c r="I108" s="32">
        <f>I107+I106</f>
        <v>2857756503.4739051</v>
      </c>
      <c r="J108" s="30" t="s">
        <v>138</v>
      </c>
      <c r="K108" s="57" t="s">
        <v>143</v>
      </c>
      <c r="L108" s="54">
        <f>L105</f>
        <v>0.13194591999999999</v>
      </c>
    </row>
    <row r="109" spans="1:12" ht="19" x14ac:dyDescent="0.25">
      <c r="E109" s="66" t="s">
        <v>144</v>
      </c>
      <c r="F109" s="66"/>
    </row>
    <row r="110" spans="1:12" ht="20" x14ac:dyDescent="0.25">
      <c r="E110" s="58" t="s">
        <v>145</v>
      </c>
      <c r="F110" s="49">
        <f>NPV(L108,E108,F108,G108,H108,I108)</f>
        <v>1704658534.7213819</v>
      </c>
    </row>
    <row r="111" spans="1:12" ht="20" x14ac:dyDescent="0.25">
      <c r="E111" s="58" t="s">
        <v>146</v>
      </c>
      <c r="F111" s="49">
        <f>D40</f>
        <v>514093000</v>
      </c>
    </row>
    <row r="112" spans="1:12" ht="20" x14ac:dyDescent="0.25">
      <c r="E112" s="58" t="s">
        <v>134</v>
      </c>
      <c r="F112" s="49">
        <f>L99</f>
        <v>0</v>
      </c>
    </row>
    <row r="113" spans="5:6" ht="20" x14ac:dyDescent="0.25">
      <c r="E113" s="58" t="s">
        <v>147</v>
      </c>
      <c r="F113" s="49">
        <f>F110+F111-F112</f>
        <v>2218751534.7213821</v>
      </c>
    </row>
    <row r="114" spans="5:6" ht="20" x14ac:dyDescent="0.25">
      <c r="E114" s="58" t="s">
        <v>156</v>
      </c>
      <c r="F114" s="58" cm="1">
        <f t="array" ref="F114">_FV(A1,"Shares outstanding",TRUE)</f>
        <v>98866870</v>
      </c>
    </row>
    <row r="115" spans="5:6" ht="20" x14ac:dyDescent="0.25">
      <c r="E115" s="59" t="s">
        <v>148</v>
      </c>
      <c r="F115" s="60">
        <f>F113/F114</f>
        <v>22.441810231489903</v>
      </c>
    </row>
    <row r="116" spans="5:6" ht="20" x14ac:dyDescent="0.25">
      <c r="E116" s="58" t="s">
        <v>149</v>
      </c>
      <c r="F116" s="61" cm="1">
        <f t="array" ref="F116">_FV(A1,"Price")</f>
        <v>47.26</v>
      </c>
    </row>
    <row r="117" spans="5:6" ht="20" x14ac:dyDescent="0.25">
      <c r="E117" s="59" t="s">
        <v>150</v>
      </c>
      <c r="F117" s="62">
        <f>F115/F116-1</f>
        <v>-0.52514155244414085</v>
      </c>
    </row>
    <row r="118" spans="5:6" ht="20" x14ac:dyDescent="0.25">
      <c r="E118" s="59" t="s">
        <v>151</v>
      </c>
      <c r="F118" s="63" t="str">
        <f>IF(F115&gt;F116,"BUY","SELL")</f>
        <v>SELL</v>
      </c>
    </row>
  </sheetData>
  <mergeCells count="6">
    <mergeCell ref="K104:L104"/>
    <mergeCell ref="E109:F109"/>
    <mergeCell ref="K83:L83"/>
    <mergeCell ref="K84:L84"/>
    <mergeCell ref="K93:L93"/>
    <mergeCell ref="K98:L98"/>
  </mergeCells>
  <hyperlinks>
    <hyperlink ref="A1" r:id="rId1" tooltip="https://roic.ai/company/BRZE" display="ROIC.AI | BRZ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6238/000167623822000005/0001676238-22-000005-index.htm" xr:uid="{00000000-0004-0000-0000-000007000000}"/>
    <hyperlink ref="D74" r:id="rId7" tooltip="https://www.sec.gov/Archives/edgar/data/1676238/000167623822000005/0001676238-22-000005-index.htm" xr:uid="{00000000-0004-0000-0000-000008000000}"/>
    <hyperlink ref="E1" r:id="rId8" display="https://finbox.com/NASDAQGS:BRZE/explorer/revenue_proj" xr:uid="{C5B6C531-AE9E-7749-90A3-A294621F4E4A}"/>
    <hyperlink ref="J106" r:id="rId9" xr:uid="{1408C44E-1E84-8D41-B41F-D0CA09794FB3}"/>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CD7D-F560-F146-8069-4EF08AB2EB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2023-03-12T22:26:32Z</dcterms:created>
  <dcterms:modified xsi:type="dcterms:W3CDTF">2023-09-13T11:29:06Z</dcterms:modified>
</cp:coreProperties>
</file>