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BA529C94-2AD6-5645-9948-233E55A30A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 a="1"/>
  <c r="I34" i="1" s="1"/>
  <c r="I35" i="1" s="1"/>
  <c r="I33" i="1" a="1"/>
  <c r="I33" i="1" s="1"/>
  <c r="O22" i="1"/>
  <c r="M104" i="1"/>
  <c r="L104" i="1"/>
  <c r="K104" i="1"/>
  <c r="J104" i="1"/>
  <c r="I104" i="1"/>
  <c r="N104" i="1" l="1"/>
  <c r="J114" i="1"/>
  <c r="I108" i="1"/>
  <c r="J108" i="1"/>
  <c r="K108" i="1"/>
  <c r="L108" i="1"/>
  <c r="B105" i="1"/>
  <c r="C105" i="1"/>
  <c r="D105" i="1"/>
  <c r="E105" i="1"/>
  <c r="F105" i="1"/>
  <c r="G105" i="1"/>
  <c r="H105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Q22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O19" i="1" l="1"/>
  <c r="P22" i="1"/>
  <c r="P19" i="1"/>
  <c r="P106" i="1"/>
  <c r="I105" i="1" s="1"/>
  <c r="J105" i="1" s="1"/>
  <c r="K105" i="1" s="1"/>
  <c r="L105" i="1" s="1"/>
  <c r="M105" i="1" s="1"/>
  <c r="Q16" i="1"/>
  <c r="P16" i="1"/>
  <c r="O16" i="1"/>
  <c r="P103" i="1"/>
  <c r="P100" i="1" s="1"/>
  <c r="Q19" i="1" l="1"/>
  <c r="P102" i="1"/>
  <c r="P94" i="1" l="1"/>
  <c r="P97" i="1" s="1"/>
  <c r="P105" i="1" s="1"/>
  <c r="P108" i="1" s="1"/>
  <c r="M107" i="1" s="1"/>
  <c r="M108" i="1" s="1"/>
  <c r="J110" i="1" s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<sst xmlns="http://schemas.openxmlformats.org/spreadsheetml/2006/main" count="334" uniqueCount="169">
  <si>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</si>
  <si>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</si>
  <si>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</si>
  <si>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</si>
  <si>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</si>
  <si>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</si>
  <si>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</si>
  <si>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</si>
  <si>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</si>
  <si>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</si>
  <si>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</si>
  <si>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</si>
  <si>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</si>
  <si>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</si>
  <si>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</si>
  <si>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</si>
  <si>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</si>
  <si>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</si>
  <si>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</si>
  <si>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</si>
  <si>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</si>
  <si>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</si>
  <si>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</si>
  <si>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</si>
  <si>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</si>
  <si>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</si>
  <si>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</si>
  <si>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</si>
  <si>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</si>
  <si>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</si>
  <si>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</si>
  <si>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</si>
  <si>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</si>
  <si>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</si>
  <si>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</si>
  <si>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</si>
  <si>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</si>
  <si>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</si>
  <si>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</si>
  <si>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</si>
  <si>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</si>
  <si>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</si>
  <si>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</si>
  <si>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</si>
  <si>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</si>
  <si>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</si>
  <si>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</si>
  <si>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</si>
  <si>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</si>
  <si>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</si>
  <si>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</si>
  <si>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</si>
  <si>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</si>
  <si>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</si>
  <si>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</si>
  <si>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</si>
  <si>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</si>
  <si>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</si>
  <si>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</si>
  <si>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</si>
  <si>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</si>
  <si>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</si>
  <si>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</si>
  <si>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</si>
  <si>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</si>
  <si>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</si>
  <si>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</si>
  <si>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</si>
  <si>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</si>
  <si>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</si>
  <si>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</si>
  <si>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</si>
  <si>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</si>
  <si>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</si>
  <si>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</si>
  <si>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</si>
  <si>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</si>
  <si>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</si>
  <si>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</si>
  <si>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</si>
  <si>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</si>
  <si>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</si>
  <si>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</si>
  <si>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</si>
  <si>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</si>
  <si>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</si>
  <si>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</si>
  <si>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</si>
  <si>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</si>
  <si>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</si>
  <si>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</si>
  <si>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</si>
  <si>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</si>
  <si>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</si>
  <si>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</si>
  <si>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</si>
  <si>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</si>
  <si>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</si>
  <si>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</si>
  <si>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</si>
  <si>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</si>
  <si>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</si>
  <si>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</si>
  <si>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</si>
  <si>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</si>
  <si>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</si>
  <si>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</si>
  <si>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</si>
  <si>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</si>
  <si>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</si>
  <si>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</si>
  <si>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</si>
  <si>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</si>
  <si>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</si>
  <si>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</si>
  <si>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</si>
  <si>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</si>
  <si>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</si>
  <si>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</si>
  <si>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</si>
  <si>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</si>
  <si>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</si>
  <si>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</si>
  <si>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</si>
  <si>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</si>
  <si>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</si>
  <si>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</si>
  <si>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</si>
  <si>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</si>
  <si>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</si>
  <si>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</si>
  <si>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</si>
  <si>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</si>
  <si>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</si>
  <si>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</si>
  <si>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</si>
  <si>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</si>
  <si>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</si>
  <si>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</si>
  <si>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</si>
  <si>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</si>
  <si>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</si>
  <si>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</si>
  <si>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</si>
  <si>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</si>
  <si>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</si>
  <si>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</si>
  <si>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</si>
  <si>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</si>
  <si>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</si>
  <si>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</si>
  <si>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</si>
  <si>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</si>
  <si>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</si>
  <si>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</si>
  <si>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</si>
  <si>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</si>
  <si>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</si>
  <si>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</si>
  <si>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</si>
  <si>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</si>
  <si>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</si>
  <si>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</si>
  <si>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</si>
  <si>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</si>
  <si>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</si>
  <si>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5Y Fwd FCF CAGR</t>
  </si>
  <si>
    <t>Forward FCF Yield</t>
  </si>
  <si>
    <t>4Y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</si>
</sst>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8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5" fontId="10" fillId="0" borderId="10" xfId="0" applyNumberFormat="1" applyFont="1" applyBorder="1"/>
    <xf numFmtId="9" fontId="1" fillId="7" borderId="0" xfId="0" applyNumberFormat="1" applyFont="1" applyFill="1"/>
    <xf numFmtId="0" fontId="17" fillId="3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Cloudflare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5629453641434296"/>
          <c:w val="0.86381548599670499"/>
          <c:h val="0.71931846409971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33338</xdr:rowOff>
    </xdr:from>
    <xdr:to>
      <xdr:col>16</xdr:col>
      <xdr:colOff>31749</xdr:colOff>
      <xdr:row>123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Full Portfolio"/>
      <sheetName val="Fidelity Growth"/>
      <sheetName val="IRA"/>
      <sheetName val="Wide Moats"/>
      <sheetName val="Sheet2"/>
      <sheetName val="Best Mature"/>
      <sheetName val="To Be Modeled"/>
      <sheetName val="Hedge Fund Portfolio"/>
      <sheetName val="Scored Portfolio"/>
      <sheetName val="GARP HF Buys"/>
      <sheetName val="Value HF Buys"/>
      <sheetName val="Aggressive Growth HF Buys"/>
      <sheetName val="Other HF Buys"/>
    </sheetNames>
    <sheetDataSet>
      <sheetData sheetId="0">
        <row r="8">
          <cell r="C8">
            <v>4.8019999999999993E-2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76.069999999999993</v>
    <v>37.369999999999997</v>
    <v>0.96209999999999996</v>
    <v>0.85</v>
    <v>1.4555E-2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3389</v>
    <v>New York Stock Exchange</v>
    <v>XNYS</v>
    <v>XNYS</v>
    <v>101 Townsend St, SAN FRANCISCO, CA, 94107-1934 US</v>
    <v>59.89</v>
    <v>Software &amp; IT Services</v>
    <v>Stock</v>
    <v>45203.99948337891</v>
    <v>0</v>
    <v>58.12</v>
    <v>19802446125</v>
    <v>CLOUDFLARE, INC.</v>
    <v>CLOUDFLARE, INC.</v>
    <v>59.15</v>
    <v>58.4</v>
    <v>59.25</v>
    <v>334218500</v>
    <v>NET</v>
    <v>CLOUDFLARE, INC. (XNYS:NET)</v>
    <v>278</v>
    <v>3348843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E90" activePane="bottomRight" state="frozen"/>
      <selection pane="topRight"/>
      <selection pane="bottomLeft"/>
      <selection pane="bottomRight" activeCell="H117" sqref="H117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3">
        <v>2023</v>
      </c>
      <c r="J1" s="23">
        <v>2024</v>
      </c>
      <c r="K1" s="23">
        <v>2025</v>
      </c>
      <c r="L1" s="23">
        <v>2026</v>
      </c>
      <c r="M1" s="23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4">
        <v>1282000000</v>
      </c>
      <c r="J3" s="24">
        <v>1664000000</v>
      </c>
      <c r="K3" s="24">
        <v>2139000000</v>
      </c>
      <c r="L3" s="24">
        <v>2988000000</v>
      </c>
      <c r="M3" s="24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0.29797191887675512</v>
      </c>
      <c r="K4" s="16">
        <f t="shared" si="0"/>
        <v>0.28545673076923084</v>
      </c>
      <c r="L4" s="16">
        <f t="shared" si="0"/>
        <v>0.39691444600280512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35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5">
        <f>(H35+G35+F35+E35+D35)/5</f>
        <v>0.13947445605504918</v>
      </c>
      <c r="O16" s="34">
        <f>P101/H3</f>
        <v>20.305182129340338</v>
      </c>
      <c r="P16" s="34">
        <f>P101/H28</f>
        <v>-102.40119828214767</v>
      </c>
      <c r="Q16" s="36">
        <f>P101/H107</f>
        <v>-497.93673778571247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30">
        <v>204300000</v>
      </c>
      <c r="J19" s="30">
        <v>265000000</v>
      </c>
      <c r="K19" s="30">
        <v>372000000</v>
      </c>
      <c r="L19" s="30">
        <v>384000000</v>
      </c>
      <c r="M19" s="30">
        <v>528000000</v>
      </c>
      <c r="N19" s="26">
        <f>H40-H56-H61</f>
        <v>72846000</v>
      </c>
      <c r="O19" s="37">
        <f>P101/I3</f>
        <v>15.446525838533541</v>
      </c>
      <c r="P19" s="37">
        <f>P101/I28</f>
        <v>168.67500958262352</v>
      </c>
      <c r="Q19" s="36">
        <f>P101/I105</f>
        <v>-79.161635755653549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0.29711209006363193</v>
      </c>
      <c r="K20" s="16">
        <f t="shared" ref="K20" si="8">(K19/J19)-1</f>
        <v>0.40377358490566029</v>
      </c>
      <c r="L20" s="16">
        <f t="shared" ref="L20" si="9">(L19/K19)-1</f>
        <v>3.2258064516129004E-2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63">
        <f>I19/I3</f>
        <v>0.15936037441497661</v>
      </c>
      <c r="J21" s="63">
        <f t="shared" ref="J21:M21" si="11">J19/J3</f>
        <v>0.15925480769230768</v>
      </c>
      <c r="K21" s="63">
        <f t="shared" si="11"/>
        <v>0.17391304347826086</v>
      </c>
      <c r="L21" s="63">
        <f t="shared" si="11"/>
        <v>0.12851405622489959</v>
      </c>
      <c r="M21" s="63">
        <f t="shared" si="11"/>
        <v>0.1380392156862745</v>
      </c>
      <c r="O21" s="65" t="s">
        <v>168</v>
      </c>
      <c r="P21" s="19" t="s">
        <v>165</v>
      </c>
      <c r="Q21" s="20" t="s">
        <v>167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O22" s="17">
        <f>SUM(J29:M29)/4</f>
        <v>0.54069944666603154</v>
      </c>
      <c r="P22" s="40">
        <f>(-1*H98)/P101</f>
        <v>0</v>
      </c>
      <c r="Q22" s="41">
        <f>I106/P101</f>
        <v>4.8823766210347409E-3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38">
        <v>117400000</v>
      </c>
      <c r="J28" s="38">
        <v>148100000</v>
      </c>
      <c r="K28" s="38">
        <v>220000000</v>
      </c>
      <c r="L28" s="38">
        <v>406600000</v>
      </c>
      <c r="M28" s="38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0.48548278190411875</v>
      </c>
      <c r="L29" s="16">
        <f t="shared" ref="L29" si="18">(L28/K28)-1</f>
        <v>0.84818181818181815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31">
        <f>I28/I3</f>
        <v>9.1575663026521065E-2</v>
      </c>
      <c r="J30" s="31">
        <f t="shared" ref="J30:M30" si="20">J28/J3</f>
        <v>8.9002403846153849E-2</v>
      </c>
      <c r="K30" s="31">
        <f t="shared" si="20"/>
        <v>0.10285179990649837</v>
      </c>
      <c r="L30" s="31">
        <f t="shared" si="20"/>
        <v>0.1360776439089692</v>
      </c>
      <c r="M30" s="31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  <c r="I31" s="12">
        <v>0.35</v>
      </c>
      <c r="J31" s="12">
        <v>0.45</v>
      </c>
      <c r="K31" s="12">
        <v>0.66</v>
      </c>
      <c r="L31" s="12">
        <v>1.22</v>
      </c>
      <c r="M31" s="12">
        <v>1.92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9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  <c r="I33" s="1" cm="1">
        <f t="array" ref="I33">_FV(A1,"Shares outstanding",TRUE)</f>
        <v>334218500</v>
      </c>
    </row>
    <row r="34" spans="1:9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  <c r="I34" s="1" cm="1">
        <f t="array" ref="I34">_FV(A1,"Shares outstanding",TRUE)</f>
        <v>334218500</v>
      </c>
    </row>
    <row r="35" spans="1:9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:I35" si="23">(H34-G34)/G34</f>
        <v>3.7479772240997258E-2</v>
      </c>
      <c r="I35" s="22">
        <f t="shared" si="23"/>
        <v>2.4167105892158907E-2</v>
      </c>
    </row>
    <row r="36" spans="1:9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9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9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9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9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9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9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9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9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9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9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9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9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7" t="s">
        <v>124</v>
      </c>
      <c r="P83" s="68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9" t="s">
        <v>125</v>
      </c>
      <c r="P84" s="69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42" t="s">
        <v>126</v>
      </c>
      <c r="P85" s="43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42" t="s">
        <v>127</v>
      </c>
      <c r="P86" s="43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42" t="s">
        <v>128</v>
      </c>
      <c r="P87" s="43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44" t="s">
        <v>129</v>
      </c>
      <c r="P88" s="45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42" t="s">
        <v>105</v>
      </c>
      <c r="P89" s="43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42" t="s">
        <v>19</v>
      </c>
      <c r="P90" s="43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44" t="s">
        <v>130</v>
      </c>
      <c r="P91" s="4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44" t="s">
        <v>131</v>
      </c>
      <c r="P92" s="45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9" t="s">
        <v>132</v>
      </c>
      <c r="P93" s="69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42" t="s">
        <v>133</v>
      </c>
      <c r="P94" s="46">
        <f>[1]Treasuries!$C$8</f>
        <v>4.8019999999999993E-2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42" t="s">
        <v>134</v>
      </c>
      <c r="P95" s="47" cm="1">
        <f t="array" ref="P95">_FV(A1,"Beta")</f>
        <v>0.96209999999999996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42" t="s">
        <v>135</v>
      </c>
      <c r="P96" s="46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44" t="s">
        <v>136</v>
      </c>
      <c r="P97" s="45">
        <f>(P94)+((P95)*(P96-P94))</f>
        <v>8.2636357999999993E-2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69" t="s">
        <v>137</v>
      </c>
      <c r="P98" s="69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42" t="s">
        <v>138</v>
      </c>
      <c r="P99" s="43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44" t="s">
        <v>139</v>
      </c>
      <c r="P100" s="45">
        <f>P99/P103</f>
        <v>7.3766377203547617E-2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42" t="s">
        <v>140</v>
      </c>
      <c r="P101" s="48" cm="1">
        <f t="array" ref="P101">_FV(A1,"Market cap",TRUE)</f>
        <v>19802446125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44" t="s">
        <v>141</v>
      </c>
      <c r="P102" s="45">
        <f>P101/P103</f>
        <v>0.92623362279645238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N103" s="28" t="s">
        <v>166</v>
      </c>
      <c r="O103" s="44" t="s">
        <v>142</v>
      </c>
      <c r="P103" s="49">
        <f>P99+P101</f>
        <v>21379537125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I104" s="64">
        <f>(I106/H107)-1</f>
        <v>-3.4311146873192686</v>
      </c>
      <c r="J104" s="64">
        <f>(J106/I106)-1</f>
        <v>0.15945926377956821</v>
      </c>
      <c r="K104" s="64">
        <f>(K106/J106)-1</f>
        <v>0.46297948260481703</v>
      </c>
      <c r="L104" s="64">
        <f>(L106/K106)-1</f>
        <v>1.0853658536585367</v>
      </c>
      <c r="M104" s="64">
        <f>(M106/L106)-1</f>
        <v>0.46198830409356728</v>
      </c>
      <c r="N104" s="64">
        <f>SUM(I104:M104)/5</f>
        <v>-0.25226435663655578</v>
      </c>
      <c r="O104" s="69" t="s">
        <v>143</v>
      </c>
      <c r="P104" s="69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27">
        <f>H105*(1+$P$106)</f>
        <v>-250152058.32941312</v>
      </c>
      <c r="J105" s="27">
        <f t="shared" ref="J105:M105" si="27">I105*(1+$P$106)</f>
        <v>-328950479.19218642</v>
      </c>
      <c r="K105" s="27">
        <f t="shared" si="27"/>
        <v>-432570567.21186215</v>
      </c>
      <c r="L105" s="27">
        <f t="shared" si="27"/>
        <v>-568831199.38752401</v>
      </c>
      <c r="M105" s="27">
        <f t="shared" si="27"/>
        <v>-748014215.30414295</v>
      </c>
      <c r="N105" s="28" t="s">
        <v>162</v>
      </c>
      <c r="O105" s="50" t="s">
        <v>106</v>
      </c>
      <c r="P105" s="51">
        <f>(P100*P92)+(P102*P97)</f>
        <v>7.6776929825043111E-2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33">
        <v>96683000</v>
      </c>
      <c r="J106" s="33">
        <v>112100000</v>
      </c>
      <c r="K106" s="33">
        <v>164000000</v>
      </c>
      <c r="L106" s="33">
        <v>342000000</v>
      </c>
      <c r="M106" s="33">
        <v>500000000</v>
      </c>
      <c r="N106" s="28" t="s">
        <v>163</v>
      </c>
      <c r="O106" s="52" t="s">
        <v>144</v>
      </c>
      <c r="P106" s="53">
        <f>(SUM(I4:M4)/5)</f>
        <v>0.3150020886856244</v>
      </c>
    </row>
    <row r="107" spans="1:16" ht="19" x14ac:dyDescent="0.25">
      <c r="A107" s="39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28"/>
      <c r="J107" s="28"/>
      <c r="K107" s="28"/>
      <c r="L107" s="28"/>
      <c r="M107" s="32">
        <f>M106*(1+P107)/(P108-P107)</f>
        <v>9898230770.5722141</v>
      </c>
      <c r="N107" s="29" t="s">
        <v>145</v>
      </c>
      <c r="O107" s="54" t="s">
        <v>146</v>
      </c>
      <c r="P107" s="55">
        <v>2.5000000000000001E-2</v>
      </c>
    </row>
    <row r="108" spans="1:16" ht="19" x14ac:dyDescent="0.25">
      <c r="I108" s="32">
        <f t="shared" ref="I108:L108" si="29">I107+I106</f>
        <v>96683000</v>
      </c>
      <c r="J108" s="32">
        <f t="shared" si="29"/>
        <v>112100000</v>
      </c>
      <c r="K108" s="32">
        <f t="shared" si="29"/>
        <v>164000000</v>
      </c>
      <c r="L108" s="32">
        <f t="shared" si="29"/>
        <v>342000000</v>
      </c>
      <c r="M108" s="32">
        <f>M107+M106</f>
        <v>10398230770.572214</v>
      </c>
      <c r="N108" s="29" t="s">
        <v>142</v>
      </c>
      <c r="O108" s="56" t="s">
        <v>147</v>
      </c>
      <c r="P108" s="53">
        <f>P105</f>
        <v>7.6776929825043111E-2</v>
      </c>
    </row>
    <row r="109" spans="1:16" ht="19" x14ac:dyDescent="0.25">
      <c r="I109" s="66" t="s">
        <v>148</v>
      </c>
      <c r="J109" s="66"/>
    </row>
    <row r="110" spans="1:16" ht="20" x14ac:dyDescent="0.25">
      <c r="I110" s="57" t="s">
        <v>149</v>
      </c>
      <c r="J110" s="48">
        <f>NPV(P108,I108,J108,K108,L108,M108)</f>
        <v>7755649158.6009407</v>
      </c>
    </row>
    <row r="111" spans="1:16" ht="20" x14ac:dyDescent="0.25">
      <c r="I111" s="57" t="s">
        <v>150</v>
      </c>
      <c r="J111" s="48">
        <f>H40</f>
        <v>1649937000</v>
      </c>
    </row>
    <row r="112" spans="1:16" ht="20" x14ac:dyDescent="0.25">
      <c r="I112" s="57" t="s">
        <v>138</v>
      </c>
      <c r="J112" s="48">
        <f>P99</f>
        <v>1577091000</v>
      </c>
    </row>
    <row r="113" spans="9:10" ht="20" x14ac:dyDescent="0.25">
      <c r="I113" s="57" t="s">
        <v>151</v>
      </c>
      <c r="J113" s="48">
        <f>J110+J111-J112</f>
        <v>7828495158.6009407</v>
      </c>
    </row>
    <row r="114" spans="9:10" ht="20" x14ac:dyDescent="0.25">
      <c r="I114" s="57" t="s">
        <v>164</v>
      </c>
      <c r="J114" s="57">
        <f>H34*(1+(5*0.05))</f>
        <v>407915000</v>
      </c>
    </row>
    <row r="115" spans="9:10" ht="20" x14ac:dyDescent="0.25">
      <c r="I115" s="58" t="s">
        <v>152</v>
      </c>
      <c r="J115" s="59">
        <f>J113/J114</f>
        <v>19.191486360150865</v>
      </c>
    </row>
    <row r="116" spans="9:10" ht="20" x14ac:dyDescent="0.25">
      <c r="I116" s="57" t="s">
        <v>153</v>
      </c>
      <c r="J116" s="60" cm="1">
        <f t="array" ref="J116">_FV(A1,"Price")</f>
        <v>59.25</v>
      </c>
    </row>
    <row r="117" spans="9:10" ht="20" x14ac:dyDescent="0.25">
      <c r="I117" s="58" t="s">
        <v>154</v>
      </c>
      <c r="J117" s="61">
        <f>J115/J116-1</f>
        <v>-0.67609305721264357</v>
      </c>
    </row>
    <row r="118" spans="9:10" ht="20" x14ac:dyDescent="0.25">
      <c r="I118" s="58" t="s">
        <v>155</v>
      </c>
      <c r="J118" s="62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2023-02-23T15:48:59Z</dcterms:created>
  <dcterms:modified xsi:type="dcterms:W3CDTF">2023-10-05T09:57:29Z</dcterms:modified>
</cp:coreProperties>
</file>