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55E4A89-93B6-2945-B805-E12493F3E9D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M95" i="1"/>
  <c r="N7" i="1" l="1"/>
  <c r="M7" i="1"/>
  <c r="L7" i="1"/>
  <c r="K7" i="1"/>
  <c r="F34" i="1" a="1"/>
  <c r="F34" i="1" s="1"/>
  <c r="F35" i="1" s="1"/>
  <c r="F33" i="1" a="1"/>
  <c r="F33" i="1" s="1"/>
  <c r="J106" i="1" l="1"/>
  <c r="I106" i="1"/>
  <c r="H106" i="1"/>
  <c r="G106" i="1"/>
  <c r="K16" i="1" l="1"/>
  <c r="G115" i="1"/>
  <c r="F109" i="1"/>
  <c r="G109" i="1"/>
  <c r="H109" i="1"/>
  <c r="I109" i="1"/>
  <c r="F30" i="1"/>
  <c r="G30" i="1"/>
  <c r="H30" i="1"/>
  <c r="I30" i="1"/>
  <c r="J30" i="1"/>
  <c r="F21" i="1"/>
  <c r="G21" i="1"/>
  <c r="H21" i="1"/>
  <c r="I21" i="1"/>
  <c r="J21" i="1"/>
  <c r="L4" i="1"/>
  <c r="M4" i="1"/>
  <c r="K4" i="1"/>
  <c r="F20" i="1"/>
  <c r="G20" i="1"/>
  <c r="H20" i="1"/>
  <c r="I20" i="1"/>
  <c r="J20" i="1"/>
  <c r="F29" i="1"/>
  <c r="G29" i="1"/>
  <c r="H29" i="1"/>
  <c r="I29" i="1"/>
  <c r="J29" i="1"/>
  <c r="G117" i="1" a="1"/>
  <c r="G117" i="1" s="1"/>
  <c r="M102" i="1" a="1"/>
  <c r="M102" i="1" s="1"/>
  <c r="N22" i="1" s="1"/>
  <c r="M96" i="1" a="1"/>
  <c r="M96" i="1" s="1"/>
  <c r="M87" i="1"/>
  <c r="G112" i="1"/>
  <c r="M91" i="1"/>
  <c r="M90" i="1"/>
  <c r="M92" i="1" s="1"/>
  <c r="D105" i="1" s="1"/>
  <c r="M88" i="1"/>
  <c r="M100" i="1" s="1"/>
  <c r="M86" i="1"/>
  <c r="C105" i="1" l="1"/>
  <c r="E105" i="1"/>
  <c r="F106" i="1" s="1"/>
  <c r="K106" i="1" s="1"/>
  <c r="M22" i="1"/>
  <c r="N19" i="1"/>
  <c r="L19" i="1"/>
  <c r="G113" i="1"/>
  <c r="M104" i="1"/>
  <c r="M101" i="1" s="1"/>
  <c r="M93" i="1"/>
  <c r="M103" i="1" l="1"/>
  <c r="H4" i="1" l="1"/>
  <c r="I4" i="1"/>
  <c r="J4" i="1"/>
  <c r="E7" i="1"/>
  <c r="K19" i="1"/>
  <c r="N16" i="1"/>
  <c r="M16" i="1"/>
  <c r="L16" i="1"/>
  <c r="N13" i="1"/>
  <c r="M13" i="1"/>
  <c r="L13" i="1"/>
  <c r="K13" i="1"/>
  <c r="N10" i="1"/>
  <c r="M10" i="1"/>
  <c r="L10" i="1"/>
  <c r="K10"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7" i="1"/>
  <c r="E18" i="1"/>
  <c r="E40" i="1"/>
  <c r="E30" i="1"/>
  <c r="E26" i="1"/>
  <c r="E23" i="1"/>
  <c r="E21" i="1"/>
  <c r="E16" i="1"/>
  <c r="E12" i="1"/>
  <c r="E13" i="1" s="1"/>
  <c r="M98" i="1" l="1"/>
  <c r="M106" i="1" s="1"/>
  <c r="M109" i="1" s="1"/>
  <c r="J108" i="1" s="1"/>
  <c r="J109" i="1" s="1"/>
  <c r="G111" i="1" s="1"/>
  <c r="G114" i="1" s="1"/>
  <c r="G116" i="1" s="1"/>
  <c r="G119"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<sst xmlns="http://schemas.openxmlformats.org/spreadsheetml/2006/main" count="331" uniqueCount="169">
  <si>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</si>
  <si>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</si>
  <si>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</si>
  <si>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</si>
  <si>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</si>
  <si>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</si>
  <si>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</si>
  <si>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</si>
  <si>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</si>
  <si>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</si>
  <si>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</si>
  <si>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</si>
  <si>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</si>
  <si>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</si>
  <si>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</si>
  <si>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</si>
  <si>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</si>
  <si>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</si>
  <si>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</si>
  <si>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</si>
  <si>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</si>
  <si>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</si>
  <si>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</si>
  <si>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</si>
  <si>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</si>
  <si>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</si>
  <si>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</si>
  <si>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</si>
  <si>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</si>
  <si>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</si>
  <si>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</si>
  <si>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</si>
  <si>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</si>
  <si>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</si>
  <si>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</si>
  <si>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</si>
  <si>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</si>
  <si>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</si>
  <si>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</si>
  <si>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</si>
  <si>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</si>
  <si>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</si>
  <si>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</si>
  <si>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</si>
  <si>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</si>
  <si>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</si>
  <si>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</si>
  <si>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</si>
  <si>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</si>
  <si>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</si>
  <si>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</si>
  <si>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</si>
  <si>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</si>
  <si>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</si>
  <si>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</si>
  <si>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</si>
  <si>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</si>
  <si>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</si>
  <si>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</si>
  <si>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</si>
  <si>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</si>
  <si>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</si>
  <si>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</si>
  <si>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</si>
  <si>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</si>
  <si>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</si>
  <si>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</si>
  <si>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</si>
  <si>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</si>
  <si>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</si>
  <si>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</si>
  <si>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</si>
  <si>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</si>
  <si>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</si>
  <si>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</si>
  <si>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</si>
  <si>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</si>
  <si>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</si>
  <si>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</si>
  <si>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</si>
  <si>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</si>
  <si>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</si>
  <si>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</si>
  <si>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</si>
  <si>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</si>
  <si>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</si>
  <si>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</si>
  <si>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</si>
  <si>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</si>
  <si>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</si>
  <si>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</si>
  <si>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</si>
  <si>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</si>
  <si>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</si>
  <si>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</si>
  <si>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</si>
  <si>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</si>
  <si>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</si>
  <si>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</si>
  <si>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</si>
  <si>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</si>
  <si>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</si>
  <si>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</si>
  <si>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</si>
  <si>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</si>
  <si>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</si>
  <si>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</si>
  <si>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</si>
  <si>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</si>
  <si>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</si>
  <si>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</si>
  <si>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</si>
  <si>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</si>
  <si>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</si>
  <si>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</si>
  <si>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</si>
  <si>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</si>
  <si>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</si>
  <si>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</si>
  <si>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</si>
  <si>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</si>
  <si>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</si>
  <si>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</si>
  <si>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</si>
  <si>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</si>
  <si>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</si>
  <si>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</si>
  <si>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</si>
  <si>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</si>
  <si>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</si>
  <si>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</si>
  <si>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</si>
  <si>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</si>
  <si>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</si>
  <si>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</si>
  <si>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</si>
  <si>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</si>
  <si>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</si>
  <si>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</si>
  <si>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</si>
  <si>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</si>
  <si>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</si>
  <si>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</si>
  <si>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</si>
  <si>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</si>
  <si>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</si>
  <si>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</si>
  <si>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</si>
  <si>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</si>
  <si>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</si>
  <si>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</si>
  <si>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</si>
  <si>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</si>
  <si>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</si>
  <si>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</si>
  <si>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</si>
  <si>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</si>
  <si>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</si>
  <si>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</si>
  <si>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</si>
  <si>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Forecast</t>
  </si>
  <si>
    <t>Shares (5% dilution)</t>
  </si>
  <si>
    <t>Forward P/FCF</t>
  </si>
  <si>
    <t>Dividend Yield</t>
  </si>
  <si>
    <t>Share Dilution (3yr)</t>
  </si>
  <si>
    <t>5Y Fwd FCF CAGR</t>
  </si>
  <si>
    <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</si>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</sst>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0" fontId="0" fillId="6" borderId="0" xfId="0" applyFill="1" applyAlignment="1">
      <alignment vertical="center"/>
    </xf>
    <xf numFmtId="164" fontId="11" fillId="6" borderId="0" xfId="0" applyNumberFormat="1" applyFont="1" applyFill="1" applyAlignment="1">
      <alignment vertical="center"/>
    </xf>
    <xf numFmtId="9" fontId="1" fillId="7" borderId="0" xfId="0" applyNumberFormat="1" applyFont="1" applyFill="1" applyAlignment="1">
      <alignment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9" fontId="1" fillId="7" borderId="0" xfId="0" applyNumberFormat="1" applyFont="1" applyFill="1" applyAlignment="1">
      <alignment horizontal="center" vertic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0"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62273476112012E-2"/>
          <c:y val="0.14775584919367002"/>
          <c:w val="0.83685008237232295"/>
          <c:h val="0.66979306529539395"/>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1'!$C$3:$J$3</c:f>
              <c:numCache>
                <c:formatCode>#,###,,;\(#,###,,\);\ \-\ \-</c:formatCode>
                <c:ptCount val="8"/>
                <c:pt idx="0">
                  <c:v>93056000</c:v>
                </c:pt>
                <c:pt idx="1">
                  <c:v>204799000</c:v>
                </c:pt>
                <c:pt idx="2">
                  <c:v>422179000</c:v>
                </c:pt>
                <c:pt idx="3">
                  <c:v>605000000</c:v>
                </c:pt>
                <c:pt idx="4">
                  <c:v>791100000</c:v>
                </c:pt>
                <c:pt idx="5">
                  <c:v>1037000000</c:v>
                </c:pt>
                <c:pt idx="6">
                  <c:v>1427000000</c:v>
                </c:pt>
                <c:pt idx="7">
                  <c:v>1874000000</c:v>
                </c:pt>
              </c:numCache>
            </c:numRef>
          </c:val>
          <c:extLst>
            <c:ext xmlns:c16="http://schemas.microsoft.com/office/drawing/2014/chart" uri="{C3380CC4-5D6E-409C-BE32-E72D297353CC}">
              <c16:uniqueId val="{00000000-7A71-EA44-A1E0-C8A78E01C306}"/>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1'!$C$28:$J$28</c:f>
              <c:numCache>
                <c:formatCode>#,###,,;\(#,###,,\);\ \-\ \-</c:formatCode>
                <c:ptCount val="8"/>
                <c:pt idx="0">
                  <c:v>-117573000</c:v>
                </c:pt>
                <c:pt idx="1">
                  <c:v>-271101000</c:v>
                </c:pt>
                <c:pt idx="2">
                  <c:v>-378385000</c:v>
                </c:pt>
                <c:pt idx="3">
                  <c:v>-144000000</c:v>
                </c:pt>
                <c:pt idx="4">
                  <c:v>6300000</c:v>
                </c:pt>
                <c:pt idx="5">
                  <c:v>98700000</c:v>
                </c:pt>
                <c:pt idx="6">
                  <c:v>147200000</c:v>
                </c:pt>
                <c:pt idx="7">
                  <c:v>285000000</c:v>
                </c:pt>
              </c:numCache>
            </c:numRef>
          </c:val>
          <c:extLst>
            <c:ext xmlns:c16="http://schemas.microsoft.com/office/drawing/2014/chart" uri="{C3380CC4-5D6E-409C-BE32-E72D297353CC}">
              <c16:uniqueId val="{00000001-7A71-EA44-A1E0-C8A78E01C306}"/>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1'!$C$107:$J$107</c:f>
              <c:numCache>
                <c:formatCode>#,###,,;\(#,###,,\);\ \-\ \-</c:formatCode>
                <c:ptCount val="8"/>
                <c:pt idx="0">
                  <c:v>-72835000</c:v>
                </c:pt>
                <c:pt idx="1">
                  <c:v>-105882000</c:v>
                </c:pt>
                <c:pt idx="2">
                  <c:v>-208033000</c:v>
                </c:pt>
                <c:pt idx="3">
                  <c:v>-70729000</c:v>
                </c:pt>
                <c:pt idx="4">
                  <c:v>58000000</c:v>
                </c:pt>
                <c:pt idx="5">
                  <c:v>148000000</c:v>
                </c:pt>
                <c:pt idx="6">
                  <c:v>340000000</c:v>
                </c:pt>
                <c:pt idx="7">
                  <c:v>516000000</c:v>
                </c:pt>
              </c:numCache>
            </c:numRef>
          </c:val>
          <c:extLst>
            <c:ext xmlns:c16="http://schemas.microsoft.com/office/drawing/2014/chart" uri="{C3380CC4-5D6E-409C-BE32-E72D297353CC}">
              <c16:uniqueId val="{00000002-7A71-EA44-A1E0-C8A78E01C306}"/>
            </c:ext>
          </c:extLst>
        </c:ser>
        <c:dLbls>
          <c:showLegendKey val="0"/>
          <c:showVal val="0"/>
          <c:showCatName val="0"/>
          <c:showSerName val="0"/>
          <c:showPercent val="0"/>
          <c:showBubbleSize val="0"/>
        </c:dLbls>
        <c:gapWidth val="150"/>
        <c:overlap val="100"/>
        <c:axId val="1703048784"/>
        <c:axId val="1703110016"/>
      </c:barChart>
      <c:catAx>
        <c:axId val="170304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0016"/>
        <c:crosses val="autoZero"/>
        <c:auto val="1"/>
        <c:lblAlgn val="ctr"/>
        <c:lblOffset val="100"/>
        <c:noMultiLvlLbl val="0"/>
      </c:catAx>
      <c:valAx>
        <c:axId val="1703110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048784"/>
        <c:crosses val="autoZero"/>
        <c:crossBetween val="between"/>
      </c:valAx>
      <c:spPr>
        <a:noFill/>
        <a:ln>
          <a:noFill/>
        </a:ln>
        <a:effectLst/>
      </c:spPr>
    </c:plotArea>
    <c:legend>
      <c:legendPos val="b"/>
      <c:layout>
        <c:manualLayout>
          <c:xMode val="edge"/>
          <c:yMode val="edge"/>
          <c:x val="0.31199014126529079"/>
          <c:y val="0.88460544479550229"/>
          <c:w val="0.37338380313663427"/>
          <c:h val="6.144175753008529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109</xdr:row>
      <xdr:rowOff>33337</xdr:rowOff>
    </xdr:from>
    <xdr:to>
      <xdr:col>13</xdr:col>
      <xdr:colOff>47624</xdr:colOff>
      <xdr:row>127</xdr:row>
      <xdr:rowOff>95249</xdr:rowOff>
    </xdr:to>
    <xdr:graphicFrame macro="">
      <xdr:nvGraphicFramePr>
        <xdr:cNvPr id="3" name="Chart 2">
          <a:extLst>
            <a:ext uri="{FF2B5EF4-FFF2-40B4-BE49-F238E27FC236}">
              <a16:creationId xmlns:a16="http://schemas.microsoft.com/office/drawing/2014/main" id="{D4C172F9-3721-E6E6-9B0C-BEF326654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24.72</v>
    <v>12.43</v>
    <v>1.83</v>
    <v>-0.23</v>
    <v>-1.3626000000000001E-2</v>
    <v>-0.05</v>
    <v>-3.003E-3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17.155000000000001</v>
    <v>Software &amp; IT Services</v>
    <v>Stock</v>
    <v>45218.997477036719</v>
    <v>0</v>
    <v>16.63</v>
    <v>4922968770</v>
    <v>SENTINELONE, INC.</v>
    <v>SENTINELONE, INC.</v>
    <v>17.02</v>
    <v>16.88</v>
    <v>16.649999999999999</v>
    <v>16.600000000000001</v>
    <v>295673800</v>
    <v>S</v>
    <v>SENTINELONE, INC. (XNYS:S)</v>
    <v>3181863</v>
    <v>5334769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5" activePane="bottomRight" state="frozen"/>
      <selection pane="topRight"/>
      <selection pane="bottomLeft"/>
      <selection pane="bottomRight" activeCell="G99" sqref="G9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605000000</v>
      </c>
      <c r="G3" s="24">
        <v>791100000</v>
      </c>
      <c r="H3" s="24">
        <v>1037000000</v>
      </c>
      <c r="I3" s="24">
        <v>1427000000</v>
      </c>
      <c r="J3" s="24">
        <v>1874000000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0.43304143503111248</v>
      </c>
      <c r="G4" s="16">
        <f t="shared" si="0"/>
        <v>0.30760330578512396</v>
      </c>
      <c r="H4" s="16">
        <f t="shared" ref="H4" si="1">(H3/G3)-1</f>
        <v>0.310833017317659</v>
      </c>
      <c r="I4" s="16">
        <f t="shared" ref="I4" si="2">(I3/H3)-1</f>
        <v>0.37608486017357756</v>
      </c>
      <c r="J4" s="16">
        <f t="shared" ref="J4" si="3">(J3/I3)-1</f>
        <v>0.31324456902592845</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67" t="s">
        <v>109</v>
      </c>
      <c r="L6" s="68" t="s">
        <v>110</v>
      </c>
      <c r="M6" s="68" t="s">
        <v>111</v>
      </c>
      <c r="N6" s="68" t="s">
        <v>112</v>
      </c>
    </row>
    <row r="7" spans="1:38" ht="19" x14ac:dyDescent="0.25">
      <c r="A7" s="5" t="s">
        <v>4</v>
      </c>
      <c r="B7" s="2" t="s">
        <v>91</v>
      </c>
      <c r="C7" s="2">
        <v>0.57730000000000004</v>
      </c>
      <c r="D7" s="2">
        <v>0.60119999999999996</v>
      </c>
      <c r="E7" s="2">
        <f>E6/E3</f>
        <v>0.6584931983826765</v>
      </c>
      <c r="F7" s="2">
        <v>0.67500000000000004</v>
      </c>
      <c r="K7" s="17">
        <f>F7</f>
        <v>0.67500000000000004</v>
      </c>
      <c r="L7" s="21">
        <f>F21</f>
        <v>-0.23801652892561984</v>
      </c>
      <c r="M7" s="21">
        <f>F30</f>
        <v>-0.23801652892561984</v>
      </c>
      <c r="N7" s="21">
        <f>F107/F3</f>
        <v>-0.11690743801652892</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29">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164</v>
      </c>
      <c r="L15" s="20" t="s">
        <v>117</v>
      </c>
      <c r="M15" s="20" t="s">
        <v>118</v>
      </c>
      <c r="N15" s="20" t="s">
        <v>119</v>
      </c>
    </row>
    <row r="16" spans="1:38" ht="19" x14ac:dyDescent="0.25">
      <c r="A16" s="5" t="s">
        <v>11</v>
      </c>
      <c r="B16" s="1" t="s">
        <v>91</v>
      </c>
      <c r="C16" s="1">
        <v>208575000</v>
      </c>
      <c r="D16" s="1">
        <v>472031000</v>
      </c>
      <c r="E16" s="1">
        <f>E15+E5</f>
        <v>824755000</v>
      </c>
      <c r="K16" s="25">
        <f>SUM(C35:E35)/3</f>
        <v>0.12033869386573433</v>
      </c>
      <c r="L16" s="28">
        <f>M102/E3</f>
        <v>11.660856579791984</v>
      </c>
      <c r="M16" s="28">
        <f>M102/E28</f>
        <v>-13.010475494535989</v>
      </c>
      <c r="N16" s="30">
        <f>M102/E107</f>
        <v>-23.664364644070893</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120</v>
      </c>
      <c r="L18" s="20" t="s">
        <v>155</v>
      </c>
      <c r="M18" s="20" t="s">
        <v>156</v>
      </c>
      <c r="N18" s="20" t="s">
        <v>162</v>
      </c>
    </row>
    <row r="19" spans="1:14" ht="19" x14ac:dyDescent="0.25">
      <c r="A19" s="6" t="s">
        <v>14</v>
      </c>
      <c r="B19" s="10" t="s">
        <v>91</v>
      </c>
      <c r="C19" s="10">
        <v>-112875000</v>
      </c>
      <c r="D19" s="10">
        <v>-261401000</v>
      </c>
      <c r="E19" s="10">
        <v>-384271000</v>
      </c>
      <c r="F19" s="27">
        <v>-144000000</v>
      </c>
      <c r="G19" s="27">
        <v>-9000000</v>
      </c>
      <c r="H19" s="27">
        <v>71000000</v>
      </c>
      <c r="I19" s="27">
        <v>204300000</v>
      </c>
      <c r="J19" s="27">
        <v>362000000</v>
      </c>
      <c r="K19" s="26">
        <f>E40-E56-E61</f>
        <v>623525000</v>
      </c>
      <c r="L19" s="28">
        <f>M102/F3</f>
        <v>8.1371384628099168</v>
      </c>
      <c r="M19" s="31" t="s">
        <v>166</v>
      </c>
      <c r="N19" s="30">
        <f>M102/F107</f>
        <v>-69.603257079839949</v>
      </c>
    </row>
    <row r="20" spans="1:14" ht="19" customHeight="1" x14ac:dyDescent="0.25">
      <c r="A20" s="14" t="s">
        <v>100</v>
      </c>
      <c r="B20" s="1"/>
      <c r="C20" s="15">
        <v>0</v>
      </c>
      <c r="D20" s="15">
        <f>(D19/C19)-1</f>
        <v>1.3158449612403103</v>
      </c>
      <c r="E20" s="15">
        <f>(E19/D19)-1</f>
        <v>0.47004410847701417</v>
      </c>
      <c r="F20" s="16">
        <f t="shared" ref="F20:J20" si="6">(F19/E19)-1</f>
        <v>-0.62526446179909489</v>
      </c>
      <c r="G20" s="16">
        <f t="shared" si="6"/>
        <v>-0.9375</v>
      </c>
      <c r="H20" s="16">
        <f t="shared" si="6"/>
        <v>-8.8888888888888893</v>
      </c>
      <c r="I20" s="16">
        <f t="shared" si="6"/>
        <v>1.8774647887323943</v>
      </c>
      <c r="J20" s="16">
        <f t="shared" si="6"/>
        <v>0.77190406265296141</v>
      </c>
    </row>
    <row r="21" spans="1:14" ht="20" x14ac:dyDescent="0.25">
      <c r="A21" s="5" t="s">
        <v>15</v>
      </c>
      <c r="B21" s="2" t="s">
        <v>91</v>
      </c>
      <c r="C21" s="2">
        <v>-1.2130000000000001</v>
      </c>
      <c r="D21" s="2">
        <v>-1.2764</v>
      </c>
      <c r="E21" s="2">
        <f>E19/E3</f>
        <v>-0.91020870294353817</v>
      </c>
      <c r="F21" s="34">
        <f t="shared" ref="F21:J21" si="7">F19/F3</f>
        <v>-0.23801652892561984</v>
      </c>
      <c r="G21" s="34">
        <f t="shared" si="7"/>
        <v>-1.1376564277588168E-2</v>
      </c>
      <c r="H21" s="34">
        <f t="shared" si="7"/>
        <v>6.8466730954676952E-2</v>
      </c>
      <c r="I21" s="34">
        <f t="shared" si="7"/>
        <v>0.14316748423265593</v>
      </c>
      <c r="J21" s="34">
        <f t="shared" si="7"/>
        <v>0.19316969050160085</v>
      </c>
      <c r="L21" s="43" t="s">
        <v>168</v>
      </c>
      <c r="M21" s="19" t="s">
        <v>163</v>
      </c>
      <c r="N21" s="20" t="s">
        <v>167</v>
      </c>
    </row>
    <row r="22" spans="1:14" ht="19" x14ac:dyDescent="0.25">
      <c r="A22" s="6" t="s">
        <v>16</v>
      </c>
      <c r="B22" s="10" t="s">
        <v>91</v>
      </c>
      <c r="C22" s="10">
        <v>-115519000</v>
      </c>
      <c r="D22" s="10">
        <v>-267232000</v>
      </c>
      <c r="E22" s="10">
        <v>-402576000</v>
      </c>
      <c r="L22" s="17" t="s">
        <v>166</v>
      </c>
      <c r="M22" s="36">
        <f>(-1*E98)/M102</f>
        <v>0</v>
      </c>
      <c r="N22" s="37">
        <f>F107/M102</f>
        <v>-1.4367143750944413E-2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2">
        <v>-144000000</v>
      </c>
      <c r="G28" s="32">
        <v>6300000</v>
      </c>
      <c r="H28" s="32">
        <v>98700000</v>
      </c>
      <c r="I28" s="32">
        <v>147200000</v>
      </c>
      <c r="J28" s="32">
        <v>285000000</v>
      </c>
    </row>
    <row r="29" spans="1:14" ht="20" customHeight="1" thickTop="1" x14ac:dyDescent="0.25">
      <c r="A29" s="14" t="s">
        <v>101</v>
      </c>
      <c r="B29" s="1"/>
      <c r="C29" s="15">
        <v>0</v>
      </c>
      <c r="D29" s="15">
        <f>(D28/C28)-1</f>
        <v>1.3058100073996579</v>
      </c>
      <c r="E29" s="15">
        <f>(E28/D28)-1</f>
        <v>0.39573443107919193</v>
      </c>
      <c r="F29" s="16">
        <f t="shared" ref="F29:J29" si="8">(F28/E28)-1</f>
        <v>-0.61943523131202349</v>
      </c>
      <c r="G29" s="16">
        <f t="shared" si="8"/>
        <v>-1.04375</v>
      </c>
      <c r="H29" s="16">
        <f t="shared" si="8"/>
        <v>14.666666666666666</v>
      </c>
      <c r="I29" s="16">
        <f t="shared" si="8"/>
        <v>0.491388044579534</v>
      </c>
      <c r="J29" s="16">
        <f t="shared" si="8"/>
        <v>0.93614130434782616</v>
      </c>
    </row>
    <row r="30" spans="1:14" ht="19" x14ac:dyDescent="0.25">
      <c r="A30" s="5" t="s">
        <v>23</v>
      </c>
      <c r="B30" s="2" t="s">
        <v>91</v>
      </c>
      <c r="C30" s="2">
        <v>-1.2635000000000001</v>
      </c>
      <c r="D30" s="2">
        <v>-1.3237000000000001</v>
      </c>
      <c r="E30" s="2">
        <f>E28/E3</f>
        <v>-0.89626674941197926</v>
      </c>
      <c r="F30" s="33">
        <f t="shared" ref="F30:J30" si="9">F28/F3</f>
        <v>-0.23801652892561984</v>
      </c>
      <c r="G30" s="33">
        <f t="shared" si="9"/>
        <v>7.9635949943117172E-3</v>
      </c>
      <c r="H30" s="33">
        <f t="shared" si="9"/>
        <v>9.5178399228543875E-2</v>
      </c>
      <c r="I30" s="33">
        <f t="shared" si="9"/>
        <v>0.10315346881569727</v>
      </c>
      <c r="J30" s="33">
        <f t="shared" si="9"/>
        <v>0.1520811099252935</v>
      </c>
    </row>
    <row r="31" spans="1:14" ht="19" x14ac:dyDescent="0.25">
      <c r="A31" s="5" t="s">
        <v>24</v>
      </c>
      <c r="B31" s="12" t="s">
        <v>91</v>
      </c>
      <c r="C31" s="12">
        <v>-0.57999999999999996</v>
      </c>
      <c r="D31" s="12">
        <v>-1.03</v>
      </c>
      <c r="E31" s="12">
        <v>-1.36</v>
      </c>
      <c r="F31" s="12">
        <v>-0.39</v>
      </c>
      <c r="G31" s="12">
        <v>-0.02</v>
      </c>
      <c r="H31" s="12">
        <v>0.33</v>
      </c>
      <c r="I31" s="12">
        <v>0.5</v>
      </c>
      <c r="J31" s="12">
        <v>0.96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c r="F33" s="1" cm="1">
        <f t="array" ref="F33">_FV(A1,"Shares outstanding",TRUE)</f>
        <v>295673800</v>
      </c>
    </row>
    <row r="34" spans="1:6" ht="19" x14ac:dyDescent="0.25">
      <c r="A34" s="5" t="s">
        <v>27</v>
      </c>
      <c r="B34" s="1">
        <v>204000000</v>
      </c>
      <c r="C34" s="1">
        <v>204433503</v>
      </c>
      <c r="D34" s="1">
        <v>204433503</v>
      </c>
      <c r="E34" s="1">
        <v>277802861</v>
      </c>
      <c r="F34" s="1" cm="1">
        <f t="array" ref="F34">_FV(A1,"Shares outstanding",TRUE)</f>
        <v>295673800</v>
      </c>
    </row>
    <row r="35" spans="1:6" ht="20" customHeight="1" x14ac:dyDescent="0.25">
      <c r="A35" s="14" t="s">
        <v>102</v>
      </c>
      <c r="B35" s="1"/>
      <c r="C35" s="22">
        <f>(C34-B34)/B34</f>
        <v>2.1250147058823527E-3</v>
      </c>
      <c r="D35" s="22">
        <f t="shared" ref="D35:F35" si="10">(D34-C34)/C34</f>
        <v>0</v>
      </c>
      <c r="E35" s="22">
        <f t="shared" si="10"/>
        <v>0.35889106689132066</v>
      </c>
      <c r="F35" s="22">
        <f t="shared" si="10"/>
        <v>6.4329571465428503E-2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19" x14ac:dyDescent="0.25">
      <c r="A83" s="5" t="s">
        <v>34</v>
      </c>
      <c r="B83" s="1" t="s">
        <v>91</v>
      </c>
      <c r="C83" s="1" t="s">
        <v>91</v>
      </c>
      <c r="D83" s="1" t="s">
        <v>91</v>
      </c>
      <c r="E83" s="1" t="s">
        <v>91</v>
      </c>
    </row>
    <row r="84" spans="1:13" ht="19" customHeight="1" x14ac:dyDescent="0.25">
      <c r="A84" s="5" t="s">
        <v>47</v>
      </c>
      <c r="B84" s="1" t="s">
        <v>91</v>
      </c>
      <c r="C84" s="1">
        <v>7429000</v>
      </c>
      <c r="D84" s="1">
        <v>-2076000</v>
      </c>
      <c r="E84" s="1">
        <v>3670000</v>
      </c>
      <c r="F84" s="44"/>
      <c r="G84" s="44"/>
      <c r="H84" s="44"/>
      <c r="I84" s="44"/>
      <c r="J84" s="44"/>
      <c r="K84" s="44"/>
      <c r="L84" s="73" t="s">
        <v>121</v>
      </c>
      <c r="M84" s="74"/>
    </row>
    <row r="85" spans="1:13" ht="20" customHeight="1" x14ac:dyDescent="0.25">
      <c r="A85" s="5" t="s">
        <v>71</v>
      </c>
      <c r="B85" s="1" t="s">
        <v>91</v>
      </c>
      <c r="C85" s="1">
        <v>22131000</v>
      </c>
      <c r="D85" s="1">
        <v>61577000</v>
      </c>
      <c r="E85" s="1"/>
      <c r="F85" s="44"/>
      <c r="G85" s="44"/>
      <c r="H85" s="44"/>
      <c r="I85" s="44"/>
      <c r="J85" s="44"/>
      <c r="K85" s="44"/>
      <c r="L85" s="75" t="s">
        <v>122</v>
      </c>
      <c r="M85" s="75"/>
    </row>
    <row r="86" spans="1:13" ht="20" x14ac:dyDescent="0.25">
      <c r="A86" s="5" t="s">
        <v>72</v>
      </c>
      <c r="B86" s="1" t="s">
        <v>91</v>
      </c>
      <c r="C86" s="1">
        <v>14581000</v>
      </c>
      <c r="D86" s="1">
        <v>24076000</v>
      </c>
      <c r="E86" s="1">
        <v>-12217000</v>
      </c>
      <c r="F86" s="44"/>
      <c r="G86" s="44"/>
      <c r="H86" s="44"/>
      <c r="I86" s="44"/>
      <c r="J86" s="44"/>
      <c r="K86" s="44"/>
      <c r="L86" s="38" t="s">
        <v>123</v>
      </c>
      <c r="M86" s="45">
        <f>E17</f>
        <v>-1830000</v>
      </c>
    </row>
    <row r="87" spans="1:13" ht="20" x14ac:dyDescent="0.25">
      <c r="A87" s="6" t="s">
        <v>73</v>
      </c>
      <c r="B87" s="10" t="s">
        <v>91</v>
      </c>
      <c r="C87" s="10">
        <v>-66570000</v>
      </c>
      <c r="D87" s="10">
        <v>-95588000</v>
      </c>
      <c r="E87" s="10">
        <v>-193287000</v>
      </c>
      <c r="F87" s="44"/>
      <c r="G87" s="44"/>
      <c r="H87" s="44"/>
      <c r="I87" s="44"/>
      <c r="J87" s="44"/>
      <c r="K87" s="44"/>
      <c r="L87" s="38" t="s">
        <v>124</v>
      </c>
      <c r="M87" s="45">
        <f>E56</f>
        <v>0</v>
      </c>
    </row>
    <row r="88" spans="1:13" ht="20" x14ac:dyDescent="0.25">
      <c r="A88" s="5" t="s">
        <v>74</v>
      </c>
      <c r="B88" s="1" t="s">
        <v>91</v>
      </c>
      <c r="C88" s="1">
        <v>-3283000</v>
      </c>
      <c r="D88" s="1">
        <v>-3653000</v>
      </c>
      <c r="E88" s="1">
        <v>-18812000</v>
      </c>
      <c r="F88" s="44"/>
      <c r="G88" s="44"/>
      <c r="H88" s="44"/>
      <c r="I88" s="44"/>
      <c r="J88" s="44"/>
      <c r="K88" s="44"/>
      <c r="L88" s="38" t="s">
        <v>125</v>
      </c>
      <c r="M88" s="45">
        <f>E61</f>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F89" s="44"/>
      <c r="G89" s="44"/>
      <c r="H89" s="44"/>
      <c r="I89" s="44"/>
      <c r="J89" s="44"/>
      <c r="K89" s="44"/>
      <c r="L89" s="39" t="s">
        <v>126</v>
      </c>
      <c r="M89" s="46">
        <v>0</v>
      </c>
    </row>
    <row r="90" spans="1:13" ht="20" x14ac:dyDescent="0.25">
      <c r="A90" s="5" t="s">
        <v>75</v>
      </c>
      <c r="B90" s="1" t="s">
        <v>91</v>
      </c>
      <c r="C90" s="1" t="s">
        <v>91</v>
      </c>
      <c r="D90" s="1">
        <v>-3449000</v>
      </c>
      <c r="E90" s="1">
        <v>-281032000</v>
      </c>
      <c r="F90" s="44"/>
      <c r="G90" s="44"/>
      <c r="H90" s="44"/>
      <c r="I90" s="44"/>
      <c r="J90" s="44"/>
      <c r="K90" s="44"/>
      <c r="L90" s="38" t="s">
        <v>127</v>
      </c>
      <c r="M90" s="45">
        <f>E27</f>
        <v>-5613000</v>
      </c>
    </row>
    <row r="91" spans="1:13" ht="20" x14ac:dyDescent="0.25">
      <c r="A91" s="5" t="s">
        <v>76</v>
      </c>
      <c r="B91" s="1" t="s">
        <v>91</v>
      </c>
      <c r="C91" s="1" t="s">
        <v>91</v>
      </c>
      <c r="D91" s="1">
        <v>-6000000</v>
      </c>
      <c r="E91" s="1">
        <v>925185000</v>
      </c>
      <c r="F91" s="44"/>
      <c r="G91" s="44"/>
      <c r="H91" s="44"/>
      <c r="I91" s="44"/>
      <c r="J91" s="44"/>
      <c r="K91" s="44"/>
      <c r="L91" s="38" t="s">
        <v>19</v>
      </c>
      <c r="M91" s="45">
        <f>E25</f>
        <v>-383998000</v>
      </c>
    </row>
    <row r="92" spans="1:13" ht="20" x14ac:dyDescent="0.25">
      <c r="A92" s="5" t="s">
        <v>77</v>
      </c>
      <c r="B92" s="1" t="s">
        <v>91</v>
      </c>
      <c r="C92" s="1" t="s">
        <v>91</v>
      </c>
      <c r="D92" s="1" t="s">
        <v>91</v>
      </c>
      <c r="E92" s="1" t="s">
        <v>91</v>
      </c>
      <c r="F92" s="44"/>
      <c r="G92" s="44"/>
      <c r="H92" s="44"/>
      <c r="I92" s="44"/>
      <c r="J92" s="44"/>
      <c r="K92" s="44"/>
      <c r="L92" s="39" t="s">
        <v>128</v>
      </c>
      <c r="M92" s="46">
        <f>M90/M91</f>
        <v>1.4617263631581414E-2</v>
      </c>
    </row>
    <row r="93" spans="1:13" ht="19" customHeight="1" x14ac:dyDescent="0.25">
      <c r="A93" s="5" t="s">
        <v>78</v>
      </c>
      <c r="B93" s="1" t="s">
        <v>91</v>
      </c>
      <c r="C93" s="1">
        <v>-2982000</v>
      </c>
      <c r="D93" s="1">
        <v>-6641000</v>
      </c>
      <c r="E93" s="1"/>
      <c r="F93" s="44"/>
      <c r="G93" s="44"/>
      <c r="H93" s="44"/>
      <c r="I93" s="44"/>
      <c r="J93" s="44"/>
      <c r="K93" s="44"/>
      <c r="L93" s="39" t="s">
        <v>129</v>
      </c>
      <c r="M93" s="46">
        <f>M89*(1-M92)</f>
        <v>0</v>
      </c>
    </row>
    <row r="94" spans="1:13" ht="20" customHeight="1" x14ac:dyDescent="0.25">
      <c r="A94" s="6" t="s">
        <v>79</v>
      </c>
      <c r="B94" s="10" t="s">
        <v>91</v>
      </c>
      <c r="C94" s="10">
        <v>-6265000</v>
      </c>
      <c r="D94" s="10">
        <v>-19743000</v>
      </c>
      <c r="E94" s="10">
        <v>-1312666000</v>
      </c>
      <c r="F94" s="44"/>
      <c r="G94" s="44"/>
      <c r="H94" s="44"/>
      <c r="I94" s="44"/>
      <c r="J94" s="44"/>
      <c r="K94" s="44"/>
      <c r="L94" s="75" t="s">
        <v>130</v>
      </c>
      <c r="M94" s="75"/>
    </row>
    <row r="95" spans="1:13" ht="20" x14ac:dyDescent="0.25">
      <c r="A95" s="5" t="s">
        <v>80</v>
      </c>
      <c r="B95" s="1" t="s">
        <v>91</v>
      </c>
      <c r="C95" s="1">
        <v>-20000000</v>
      </c>
      <c r="D95" s="1">
        <v>-20000000</v>
      </c>
      <c r="E95" s="1">
        <v>0</v>
      </c>
      <c r="F95" s="44"/>
      <c r="G95" s="44"/>
      <c r="H95" s="44"/>
      <c r="I95" s="44"/>
      <c r="J95" s="44"/>
      <c r="K95" s="44"/>
      <c r="L95" s="38" t="s">
        <v>131</v>
      </c>
      <c r="M95" s="69">
        <f>'[1]US Treasury Bonds'!$C$8</f>
        <v>4.9020000000000001E-2</v>
      </c>
    </row>
    <row r="96" spans="1:13" ht="20" x14ac:dyDescent="0.25">
      <c r="A96" s="5" t="s">
        <v>81</v>
      </c>
      <c r="B96" s="1" t="s">
        <v>91</v>
      </c>
      <c r="C96" s="1" t="s">
        <v>91</v>
      </c>
      <c r="D96" s="1">
        <v>1388562000</v>
      </c>
      <c r="E96" s="1">
        <v>36494000</v>
      </c>
      <c r="F96" s="44"/>
      <c r="G96" s="44"/>
      <c r="H96" s="44"/>
      <c r="I96" s="44"/>
      <c r="J96" s="44"/>
      <c r="K96" s="44"/>
      <c r="L96" s="38" t="s">
        <v>132</v>
      </c>
      <c r="M96" s="48" cm="1">
        <f t="array" ref="M96">_FV(A1,"Beta")</f>
        <v>1.83</v>
      </c>
    </row>
    <row r="97" spans="1:13" ht="20" x14ac:dyDescent="0.25">
      <c r="A97" s="5" t="s">
        <v>82</v>
      </c>
      <c r="B97" s="1" t="s">
        <v>91</v>
      </c>
      <c r="C97" s="1" t="s">
        <v>91</v>
      </c>
      <c r="D97" s="1" t="s">
        <v>91</v>
      </c>
      <c r="E97" s="1" t="s">
        <v>91</v>
      </c>
      <c r="F97" s="44"/>
      <c r="G97" s="44"/>
      <c r="H97" s="44"/>
      <c r="I97" s="44"/>
      <c r="J97" s="44"/>
      <c r="K97" s="44"/>
      <c r="L97" s="38" t="s">
        <v>133</v>
      </c>
      <c r="M97" s="47">
        <v>8.4000000000000005E-2</v>
      </c>
    </row>
    <row r="98" spans="1:13" ht="19" customHeight="1" x14ac:dyDescent="0.25">
      <c r="A98" s="5" t="s">
        <v>83</v>
      </c>
      <c r="B98" s="1" t="s">
        <v>91</v>
      </c>
      <c r="C98" s="1" t="s">
        <v>91</v>
      </c>
      <c r="D98" s="1" t="s">
        <v>91</v>
      </c>
      <c r="E98" s="1">
        <v>0</v>
      </c>
      <c r="F98" s="44"/>
      <c r="G98" s="44"/>
      <c r="H98" s="44"/>
      <c r="I98" s="44"/>
      <c r="J98" s="44"/>
      <c r="K98" s="44"/>
      <c r="L98" s="39" t="s">
        <v>134</v>
      </c>
      <c r="M98" s="46">
        <f>(M95)+((M96)*(M97-M95))</f>
        <v>0.11303340000000001</v>
      </c>
    </row>
    <row r="99" spans="1:13" ht="20" customHeight="1" x14ac:dyDescent="0.25">
      <c r="A99" s="5" t="s">
        <v>84</v>
      </c>
      <c r="B99" s="1" t="s">
        <v>91</v>
      </c>
      <c r="C99" s="1">
        <v>443978000</v>
      </c>
      <c r="D99" s="1">
        <v>18562000</v>
      </c>
      <c r="E99" s="1">
        <v>-186000</v>
      </c>
      <c r="F99" s="44"/>
      <c r="G99" s="44"/>
      <c r="H99" s="44"/>
      <c r="I99" s="44"/>
      <c r="J99" s="44"/>
      <c r="K99" s="44"/>
      <c r="L99" s="75" t="s">
        <v>135</v>
      </c>
      <c r="M99" s="75"/>
    </row>
    <row r="100" spans="1:13" ht="20" x14ac:dyDescent="0.25">
      <c r="A100" s="6" t="s">
        <v>85</v>
      </c>
      <c r="B100" s="10" t="s">
        <v>91</v>
      </c>
      <c r="C100" s="10">
        <v>423978000</v>
      </c>
      <c r="D100" s="10">
        <v>1387124000</v>
      </c>
      <c r="E100" s="10">
        <v>36308000</v>
      </c>
      <c r="F100" s="44"/>
      <c r="G100" s="44"/>
      <c r="H100" s="44"/>
      <c r="I100" s="44"/>
      <c r="J100" s="44"/>
      <c r="K100" s="44"/>
      <c r="L100" s="38" t="s">
        <v>136</v>
      </c>
      <c r="M100" s="45">
        <f>M87+M88</f>
        <v>0</v>
      </c>
    </row>
    <row r="101" spans="1:13" ht="20" x14ac:dyDescent="0.25">
      <c r="A101" s="5" t="s">
        <v>86</v>
      </c>
      <c r="B101" s="1" t="s">
        <v>91</v>
      </c>
      <c r="C101" s="1">
        <v>289000</v>
      </c>
      <c r="D101" s="1">
        <v>1146000</v>
      </c>
      <c r="E101" s="1">
        <v>0</v>
      </c>
      <c r="F101" s="44"/>
      <c r="G101" s="44"/>
      <c r="H101" s="44"/>
      <c r="I101" s="44"/>
      <c r="J101" s="44"/>
      <c r="K101" s="44"/>
      <c r="L101" s="39" t="s">
        <v>137</v>
      </c>
      <c r="M101" s="46">
        <f>M100/M104</f>
        <v>0</v>
      </c>
    </row>
    <row r="102" spans="1:13" ht="20" x14ac:dyDescent="0.25">
      <c r="A102" s="6" t="s">
        <v>87</v>
      </c>
      <c r="B102" s="10" t="s">
        <v>91</v>
      </c>
      <c r="C102" s="10">
        <v>351432000</v>
      </c>
      <c r="D102" s="10">
        <v>1272939000</v>
      </c>
      <c r="E102" s="10">
        <v>1469645000</v>
      </c>
      <c r="F102" s="44"/>
      <c r="G102" s="44"/>
      <c r="H102" s="44"/>
      <c r="I102" s="44"/>
      <c r="J102" s="44"/>
      <c r="K102" s="44"/>
      <c r="L102" s="38" t="s">
        <v>138</v>
      </c>
      <c r="M102" s="49" cm="1">
        <f t="array" ref="M102">_FV(A1,"Market cap",TRUE)</f>
        <v>4922968770</v>
      </c>
    </row>
    <row r="103" spans="1:13" ht="20" x14ac:dyDescent="0.25">
      <c r="A103" s="5" t="s">
        <v>88</v>
      </c>
      <c r="B103" s="1" t="s">
        <v>91</v>
      </c>
      <c r="C103" s="1">
        <v>47680000</v>
      </c>
      <c r="D103" s="1">
        <v>399112000</v>
      </c>
      <c r="E103" s="1">
        <v>1672051</v>
      </c>
      <c r="F103" s="44"/>
      <c r="G103" s="44"/>
      <c r="H103" s="44"/>
      <c r="I103" s="44"/>
      <c r="J103" s="44"/>
      <c r="K103" s="44"/>
      <c r="L103" s="39" t="s">
        <v>139</v>
      </c>
      <c r="M103" s="46">
        <f>M102/M104</f>
        <v>1</v>
      </c>
    </row>
    <row r="104" spans="1:13" ht="20" customHeight="1" thickBot="1" x14ac:dyDescent="0.3">
      <c r="A104" s="7" t="s">
        <v>89</v>
      </c>
      <c r="B104" s="11" t="s">
        <v>91</v>
      </c>
      <c r="C104" s="11">
        <v>399112000</v>
      </c>
      <c r="D104" s="11">
        <v>1672051000</v>
      </c>
      <c r="E104" s="11">
        <v>202406000</v>
      </c>
      <c r="F104" s="77" t="s">
        <v>112</v>
      </c>
      <c r="G104" s="77"/>
      <c r="H104" s="77"/>
      <c r="I104" s="77"/>
      <c r="J104" s="77"/>
      <c r="K104" s="44"/>
      <c r="L104" s="39" t="s">
        <v>140</v>
      </c>
      <c r="M104" s="51">
        <f>M100+M102</f>
        <v>4922968770</v>
      </c>
    </row>
    <row r="105" spans="1:13" ht="21" customHeight="1" thickTop="1" x14ac:dyDescent="0.25">
      <c r="A105" s="14" t="s">
        <v>157</v>
      </c>
      <c r="C105" s="1">
        <f>(C22*(1-$M$92))+C77+C88+C81</f>
        <v>-96603428.322543338</v>
      </c>
      <c r="D105" s="1">
        <f>(D22*(1-$M$92))+D77+D88+D81</f>
        <v>-203430799.40520522</v>
      </c>
      <c r="E105" s="1">
        <f>(E22*(1-$M$92))+E77+E88+E81</f>
        <v>-385782440.4762525</v>
      </c>
      <c r="F105" s="70">
        <f>F107/F3</f>
        <v>-0.11690743801652892</v>
      </c>
      <c r="G105" s="70">
        <f>G107/G3</f>
        <v>7.3315636455568198E-2</v>
      </c>
      <c r="H105" s="70">
        <f>H107/H3</f>
        <v>0.14271938283510124</v>
      </c>
      <c r="I105" s="70">
        <f>I107/I3</f>
        <v>0.23826208829712683</v>
      </c>
      <c r="J105" s="70">
        <f>J107/J3</f>
        <v>0.27534685165421557</v>
      </c>
      <c r="K105" s="71" t="s">
        <v>165</v>
      </c>
      <c r="L105" s="75" t="s">
        <v>141</v>
      </c>
      <c r="M105" s="75"/>
    </row>
    <row r="106" spans="1:13" ht="20" x14ac:dyDescent="0.25">
      <c r="A106" s="14" t="s">
        <v>158</v>
      </c>
      <c r="B106" s="1"/>
      <c r="C106" s="15">
        <v>0</v>
      </c>
      <c r="D106" s="15">
        <f>(D107/C107)-1</f>
        <v>0.45372417107160024</v>
      </c>
      <c r="E106" s="15">
        <f>(E107/D107)-1</f>
        <v>0.96476266031997882</v>
      </c>
      <c r="F106" s="52">
        <f>(F107/E105)-1</f>
        <v>-0.81666091408234054</v>
      </c>
      <c r="G106" s="52">
        <f>(G107/F107)-1</f>
        <v>-1.8200313874082767</v>
      </c>
      <c r="H106" s="52">
        <f>(H107/G107)-1</f>
        <v>1.5517241379310347</v>
      </c>
      <c r="I106" s="52">
        <f>(I107/H107)-1</f>
        <v>1.2972972972972974</v>
      </c>
      <c r="J106" s="52">
        <f>(J107/I107)-1</f>
        <v>0.51764705882352935</v>
      </c>
      <c r="K106" s="66">
        <f>SUM(F106:J106)/5</f>
        <v>0.1459952385122488</v>
      </c>
      <c r="L106" s="40" t="s">
        <v>142</v>
      </c>
      <c r="M106" s="53">
        <f>(M101*M93)+(M103*M98)</f>
        <v>0.11303340000000001</v>
      </c>
    </row>
    <row r="107" spans="1:13" ht="19" x14ac:dyDescent="0.25">
      <c r="A107" s="35" t="s">
        <v>159</v>
      </c>
      <c r="B107" s="1" t="s">
        <v>91</v>
      </c>
      <c r="C107" s="1">
        <v>-72835000</v>
      </c>
      <c r="D107" s="1">
        <v>-105882000</v>
      </c>
      <c r="E107" s="1">
        <v>-208033000</v>
      </c>
      <c r="F107" s="54">
        <v>-70729000</v>
      </c>
      <c r="G107" s="54">
        <v>58000000</v>
      </c>
      <c r="H107" s="54">
        <v>148000000</v>
      </c>
      <c r="I107" s="54">
        <v>340000000</v>
      </c>
      <c r="J107" s="54">
        <v>516000000</v>
      </c>
      <c r="K107" s="50" t="s">
        <v>160</v>
      </c>
      <c r="L107" s="55" t="s">
        <v>143</v>
      </c>
      <c r="M107" s="41">
        <f>(SUM(F4:J4)/5)</f>
        <v>0.34816143746668027</v>
      </c>
    </row>
    <row r="108" spans="1:13" ht="19" x14ac:dyDescent="0.2">
      <c r="F108" s="72"/>
      <c r="G108" s="72"/>
      <c r="H108" s="72"/>
      <c r="I108" s="72"/>
      <c r="J108" s="56">
        <f>J107*(1+M108)/(M109-M108)</f>
        <v>6007946983.7584352</v>
      </c>
      <c r="K108" s="57" t="s">
        <v>144</v>
      </c>
      <c r="L108" s="58" t="s">
        <v>145</v>
      </c>
      <c r="M108" s="42">
        <v>2.5000000000000001E-2</v>
      </c>
    </row>
    <row r="109" spans="1:13" ht="19" x14ac:dyDescent="0.2">
      <c r="F109" s="56">
        <f t="shared" ref="F109:I109" si="13">F108+F107</f>
        <v>-70729000</v>
      </c>
      <c r="G109" s="56">
        <f t="shared" si="13"/>
        <v>58000000</v>
      </c>
      <c r="H109" s="56">
        <f t="shared" si="13"/>
        <v>148000000</v>
      </c>
      <c r="I109" s="56">
        <f t="shared" si="13"/>
        <v>340000000</v>
      </c>
      <c r="J109" s="56">
        <f>J108+J107</f>
        <v>6523946983.7584352</v>
      </c>
      <c r="K109" s="57" t="s">
        <v>140</v>
      </c>
      <c r="L109" s="59" t="s">
        <v>146</v>
      </c>
      <c r="M109" s="41">
        <f>M106</f>
        <v>0.11303340000000001</v>
      </c>
    </row>
    <row r="110" spans="1:13" ht="19" x14ac:dyDescent="0.2">
      <c r="F110" s="76" t="s">
        <v>147</v>
      </c>
      <c r="G110" s="76"/>
      <c r="H110" s="44"/>
      <c r="I110" s="44"/>
      <c r="J110" s="44"/>
      <c r="K110" s="44"/>
      <c r="L110" s="44"/>
      <c r="M110" s="44"/>
    </row>
    <row r="111" spans="1:13" ht="20" x14ac:dyDescent="0.2">
      <c r="F111" s="60" t="s">
        <v>148</v>
      </c>
      <c r="G111" s="49">
        <f>NPV(M109,F109,G109,H109,I109,J109)</f>
        <v>4131316528.5742121</v>
      </c>
      <c r="H111" s="44"/>
      <c r="I111" s="44"/>
      <c r="J111" s="44"/>
      <c r="K111" s="44"/>
      <c r="L111" s="44"/>
      <c r="M111" s="44"/>
    </row>
    <row r="112" spans="1:13" ht="20" x14ac:dyDescent="0.2">
      <c r="F112" s="60" t="s">
        <v>149</v>
      </c>
      <c r="G112" s="49">
        <f>E40</f>
        <v>623525000</v>
      </c>
      <c r="H112" s="44"/>
      <c r="I112" s="44"/>
      <c r="J112" s="44"/>
      <c r="K112" s="44"/>
      <c r="L112" s="44"/>
      <c r="M112" s="44"/>
    </row>
    <row r="113" spans="6:13" ht="20" x14ac:dyDescent="0.2">
      <c r="F113" s="60" t="s">
        <v>136</v>
      </c>
      <c r="G113" s="49">
        <f>M100</f>
        <v>0</v>
      </c>
      <c r="H113" s="44"/>
      <c r="I113" s="44"/>
      <c r="J113" s="44"/>
      <c r="K113" s="44"/>
      <c r="L113" s="44"/>
      <c r="M113" s="44"/>
    </row>
    <row r="114" spans="6:13" ht="20" x14ac:dyDescent="0.2">
      <c r="F114" s="60" t="s">
        <v>150</v>
      </c>
      <c r="G114" s="49">
        <f>G111+G112-G113</f>
        <v>4754841528.5742121</v>
      </c>
      <c r="H114" s="44"/>
      <c r="I114" s="44"/>
      <c r="J114" s="44"/>
      <c r="K114" s="44"/>
      <c r="L114" s="44"/>
      <c r="M114" s="44"/>
    </row>
    <row r="115" spans="6:13" ht="20" x14ac:dyDescent="0.2">
      <c r="F115" s="60" t="s">
        <v>161</v>
      </c>
      <c r="G115" s="60">
        <f>E34*(1+(5*0.05))</f>
        <v>347253576.25</v>
      </c>
      <c r="H115" s="44"/>
      <c r="I115" s="44"/>
      <c r="J115" s="44"/>
      <c r="K115" s="44"/>
      <c r="L115" s="44"/>
      <c r="M115" s="44"/>
    </row>
    <row r="116" spans="6:13" ht="20" x14ac:dyDescent="0.2">
      <c r="F116" s="61" t="s">
        <v>151</v>
      </c>
      <c r="G116" s="62">
        <f>G114/G115</f>
        <v>13.692707156314599</v>
      </c>
      <c r="H116" s="44"/>
      <c r="I116" s="44"/>
      <c r="J116" s="44"/>
      <c r="K116" s="44"/>
      <c r="L116" s="44"/>
      <c r="M116" s="44"/>
    </row>
    <row r="117" spans="6:13" ht="20" x14ac:dyDescent="0.2">
      <c r="F117" s="60" t="s">
        <v>152</v>
      </c>
      <c r="G117" s="63" cm="1">
        <f t="array" ref="G117">_FV(A1,"Price")</f>
        <v>16.649999999999999</v>
      </c>
      <c r="H117" s="44"/>
      <c r="I117" s="44"/>
      <c r="J117" s="44"/>
      <c r="K117" s="44"/>
      <c r="L117" s="44"/>
      <c r="M117" s="44"/>
    </row>
    <row r="118" spans="6:13" ht="20" x14ac:dyDescent="0.2">
      <c r="F118" s="61" t="s">
        <v>153</v>
      </c>
      <c r="G118" s="64">
        <f>G116/G117-1</f>
        <v>-0.17761518580693092</v>
      </c>
      <c r="H118" s="44"/>
      <c r="I118" s="44"/>
      <c r="J118" s="44"/>
      <c r="K118" s="44"/>
      <c r="L118" s="44"/>
      <c r="M118" s="44"/>
    </row>
    <row r="119" spans="6:13" ht="20" x14ac:dyDescent="0.2">
      <c r="F119" s="61" t="s">
        <v>154</v>
      </c>
      <c r="G119" s="65"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7"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2023-01-11T14:57:11Z</dcterms:created>
  <dcterms:modified xsi:type="dcterms:W3CDTF">2023-10-20T04:28:29Z</dcterms:modified>
</cp:coreProperties>
</file>