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22598B1-4DD5-F141-8062-25CAC5BF16A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O7" i="1"/>
  <c r="N7" i="1"/>
  <c r="M7" i="1"/>
  <c r="L7" i="1"/>
  <c r="G6" i="1"/>
  <c r="H115" i="1"/>
  <c r="G33" i="1" a="1"/>
  <c r="G33" i="1" s="1"/>
  <c r="G34" i="1" a="1"/>
  <c r="G34" i="1" s="1"/>
  <c r="G35" i="1" s="1"/>
  <c r="M22" i="1"/>
  <c r="K106" i="1"/>
  <c r="J106" i="1"/>
  <c r="I106" i="1"/>
  <c r="H106" i="1"/>
  <c r="G106" i="1"/>
  <c r="G109" i="1"/>
  <c r="H109" i="1"/>
  <c r="I109" i="1"/>
  <c r="J109" i="1"/>
  <c r="B105" i="1"/>
  <c r="C105" i="1"/>
  <c r="D105" i="1"/>
  <c r="E105" i="1"/>
  <c r="F105" i="1"/>
  <c r="H30" i="1"/>
  <c r="I30" i="1"/>
  <c r="J30" i="1"/>
  <c r="K30" i="1"/>
  <c r="G30" i="1"/>
  <c r="G29" i="1"/>
  <c r="H29" i="1"/>
  <c r="I29" i="1"/>
  <c r="J29" i="1"/>
  <c r="K29" i="1"/>
  <c r="H21" i="1"/>
  <c r="I21" i="1"/>
  <c r="J21" i="1"/>
  <c r="K21" i="1"/>
  <c r="G21" i="1"/>
  <c r="G20" i="1"/>
  <c r="H20" i="1"/>
  <c r="I20" i="1"/>
  <c r="J20" i="1"/>
  <c r="K20" i="1"/>
  <c r="H117" i="1" a="1"/>
  <c r="H117" i="1" s="1"/>
  <c r="N102" i="1" a="1"/>
  <c r="N102" i="1" s="1"/>
  <c r="N19" i="1" s="1"/>
  <c r="N96" i="1" a="1"/>
  <c r="N96" i="1" s="1"/>
  <c r="L16" i="1"/>
  <c r="N86" i="1"/>
  <c r="N89" i="1"/>
  <c r="N93" i="1"/>
  <c r="H112" i="1"/>
  <c r="N91" i="1"/>
  <c r="N90" i="1"/>
  <c r="N92" i="1"/>
  <c r="N88" i="1"/>
  <c r="N87" i="1"/>
  <c r="N100" i="1"/>
  <c r="H113" i="1" s="1"/>
  <c r="L13" i="1"/>
  <c r="L4" i="1"/>
  <c r="L19" i="1"/>
  <c r="O13" i="1"/>
  <c r="N13" i="1"/>
  <c r="M13" i="1"/>
  <c r="O10" i="1"/>
  <c r="N10" i="1"/>
  <c r="M10" i="1"/>
  <c r="L10"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O22" i="1" l="1"/>
  <c r="L106" i="1"/>
  <c r="N22" i="1"/>
  <c r="N107" i="1"/>
  <c r="M19" i="1"/>
  <c r="N104" i="1"/>
  <c r="N101" i="1" s="1"/>
  <c r="O16" i="1"/>
  <c r="N16" i="1"/>
  <c r="M16" i="1"/>
  <c r="O19" i="1" l="1"/>
  <c r="N103" i="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<sst xmlns="http://schemas.openxmlformats.org/spreadsheetml/2006/main" count="281" uniqueCount="168">
  <si>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</si>
  <si>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</si>
  <si>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</si>
  <si>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</si>
  <si>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</si>
  <si>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</si>
  <si>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</si>
  <si>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</si>
  <si>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</si>
  <si>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</si>
  <si>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</si>
  <si>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</si>
  <si>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</si>
  <si>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</si>
  <si>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</si>
  <si>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</si>
  <si>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</si>
  <si>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</si>
  <si>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</si>
  <si>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</si>
  <si>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</si>
  <si>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</si>
  <si>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</si>
  <si>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</si>
  <si>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</si>
  <si>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</si>
  <si>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</si>
  <si>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</si>
  <si>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</si>
  <si>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</si>
  <si>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</si>
  <si>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</si>
  <si>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</si>
  <si>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</si>
  <si>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</si>
  <si>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</si>
  <si>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</si>
  <si>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</si>
  <si>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</si>
  <si>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</si>
  <si>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</si>
  <si>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</si>
  <si>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</si>
  <si>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</si>
  <si>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</si>
  <si>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</si>
  <si>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</si>
  <si>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</si>
  <si>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</si>
  <si>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</si>
  <si>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</si>
  <si>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</si>
  <si>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</si>
  <si>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</si>
  <si>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</si>
  <si>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</si>
  <si>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</si>
  <si>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</si>
  <si>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</si>
  <si>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</si>
  <si>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</si>
  <si>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</si>
  <si>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</si>
  <si>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</si>
  <si>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</si>
  <si>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</si>
  <si>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</si>
  <si>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</si>
  <si>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</si>
  <si>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</si>
  <si>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</si>
  <si>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</si>
  <si>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</si>
  <si>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</si>
  <si>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</si>
  <si>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</si>
  <si>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</si>
  <si>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</si>
  <si>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</si>
  <si>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</si>
  <si>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</si>
  <si>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</si>
  <si>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</si>
  <si>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</si>
  <si>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</si>
  <si>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</si>
  <si>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</si>
  <si>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</si>
  <si>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</si>
  <si>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</si>
  <si>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</si>
  <si>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</si>
  <si>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</si>
  <si>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</si>
  <si>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</si>
  <si>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</si>
  <si>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</si>
  <si>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</si>
  <si>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</si>
  <si>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</si>
  <si>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</si>
  <si>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</si>
  <si>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</si>
  <si>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</si>
  <si>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</si>
  <si>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</si>
  <si>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</si>
  <si>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</si>
  <si>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</si>
  <si>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</si>
  <si>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</si>
  <si>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</si>
  <si>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</si>
  <si>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</si>
  <si>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</si>
  <si>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</si>
  <si>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</si>
  <si>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</si>
  <si>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</si>
  <si>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</si>
  <si>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</si>
  <si>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</si>
  <si>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</si>
  <si>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</si>
  <si>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</si>
  <si>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</si>
  <si>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</si>
  <si>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</si>
  <si>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</si>
  <si>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</si>
  <si>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</si>
  <si>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</si>
  <si>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</si>
  <si>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</si>
  <si>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</si>
  <si>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</si>
  <si>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</si>
  <si>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</si>
  <si>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</si>
  <si>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</si>
  <si>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</si>
  <si>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</si>
  <si>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</si>
  <si>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</si>
  <si>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</si>
  <si>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</si>
  <si>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</si>
  <si>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</si>
  <si>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</si>
  <si>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</si>
  <si>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</si>
  <si>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</si>
  <si>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</si>
  <si>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</si>
  <si>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</si>
  <si>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</si>
  <si>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</si>
  <si>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</si>
  <si>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</si>
  <si>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</si>
  <si>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</si>
  <si>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</si>
  <si>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Forecast</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</si>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</sst>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endParaRPr lang="en-US"/>
          </a:p>
        </c:rich>
      </c:tx>
      <c:layout>
        <c:manualLayout>
          <c:xMode val="edge"/>
          <c:yMode val="edge"/>
          <c:x val="0.42771570247933882"/>
          <c:y val="2.453047440633716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284297520661168E-2"/>
          <c:y val="0.1457416810666507"/>
          <c:w val="0.8468892561983471"/>
          <c:h val="0.6829428939730602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1'!$B$3:$K$3</c:f>
              <c:numCache>
                <c:formatCode>#,###,,;\(#,###,,\);\ \-\ \-</c:formatCode>
                <c:ptCount val="10"/>
                <c:pt idx="0">
                  <c:v>96666000</c:v>
                </c:pt>
                <c:pt idx="1">
                  <c:v>264748000</c:v>
                </c:pt>
                <c:pt idx="2">
                  <c:v>592049000</c:v>
                </c:pt>
                <c:pt idx="3">
                  <c:v>1219327000</c:v>
                </c:pt>
                <c:pt idx="4">
                  <c:v>2065659000</c:v>
                </c:pt>
                <c:pt idx="5">
                  <c:v>2750000000</c:v>
                </c:pt>
                <c:pt idx="6">
                  <c:v>3606000000</c:v>
                </c:pt>
                <c:pt idx="7">
                  <c:v>4751000000</c:v>
                </c:pt>
                <c:pt idx="8">
                  <c:v>6537000000</c:v>
                </c:pt>
                <c:pt idx="9">
                  <c:v>8543000000</c:v>
                </c:pt>
              </c:numCache>
            </c:numRef>
          </c:val>
          <c:extLst>
            <c:ext xmlns:c16="http://schemas.microsoft.com/office/drawing/2014/chart" uri="{C3380CC4-5D6E-409C-BE32-E72D297353CC}">
              <c16:uniqueId val="{00000000-A8F5-DA4A-9EC5-5C4D048D973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1'!$B$28:$K$28</c:f>
              <c:numCache>
                <c:formatCode>#,###,,;\(#,###,,\);\ \-\ \-</c:formatCode>
                <c:ptCount val="10"/>
                <c:pt idx="0">
                  <c:v>-178028000</c:v>
                </c:pt>
                <c:pt idx="1">
                  <c:v>-348535000</c:v>
                </c:pt>
                <c:pt idx="2">
                  <c:v>-539102000</c:v>
                </c:pt>
                <c:pt idx="3">
                  <c:v>-679948000</c:v>
                </c:pt>
                <c:pt idx="4">
                  <c:v>-796705000</c:v>
                </c:pt>
                <c:pt idx="5">
                  <c:v>243300000</c:v>
                </c:pt>
                <c:pt idx="6">
                  <c:v>368000000</c:v>
                </c:pt>
                <c:pt idx="7">
                  <c:v>588400000</c:v>
                </c:pt>
                <c:pt idx="8">
                  <c:v>516000000</c:v>
                </c:pt>
                <c:pt idx="9">
                  <c:v>791600000</c:v>
                </c:pt>
              </c:numCache>
            </c:numRef>
          </c:val>
          <c:extLst>
            <c:ext xmlns:c16="http://schemas.microsoft.com/office/drawing/2014/chart" uri="{C3380CC4-5D6E-409C-BE32-E72D297353CC}">
              <c16:uniqueId val="{00000001-A8F5-DA4A-9EC5-5C4D048D973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1'!$B$107:$K$107</c:f>
              <c:numCache>
                <c:formatCode>#,###,,;\(#,###,,\);\ \-\ \-</c:formatCode>
                <c:ptCount val="10"/>
                <c:pt idx="0">
                  <c:v>-147998000</c:v>
                </c:pt>
                <c:pt idx="1">
                  <c:v>-199406000</c:v>
                </c:pt>
                <c:pt idx="2">
                  <c:v>-94121000</c:v>
                </c:pt>
                <c:pt idx="3">
                  <c:v>56852000</c:v>
                </c:pt>
                <c:pt idx="4">
                  <c:v>496499000</c:v>
                </c:pt>
                <c:pt idx="5">
                  <c:v>544000000</c:v>
                </c:pt>
                <c:pt idx="6">
                  <c:v>753000000</c:v>
                </c:pt>
                <c:pt idx="7">
                  <c:v>1100000000</c:v>
                </c:pt>
                <c:pt idx="8">
                  <c:v>1865000000</c:v>
                </c:pt>
                <c:pt idx="9">
                  <c:v>2763000000</c:v>
                </c:pt>
              </c:numCache>
            </c:numRef>
          </c:val>
          <c:extLst>
            <c:ext xmlns:c16="http://schemas.microsoft.com/office/drawing/2014/chart" uri="{C3380CC4-5D6E-409C-BE32-E72D297353CC}">
              <c16:uniqueId val="{00000002-A8F5-DA4A-9EC5-5C4D048D973A}"/>
            </c:ext>
          </c:extLst>
        </c:ser>
        <c:dLbls>
          <c:showLegendKey val="0"/>
          <c:showVal val="0"/>
          <c:showCatName val="0"/>
          <c:showSerName val="0"/>
          <c:showPercent val="0"/>
          <c:showBubbleSize val="0"/>
        </c:dLbls>
        <c:gapWidth val="150"/>
        <c:overlap val="100"/>
        <c:axId val="1712191840"/>
        <c:axId val="1756669392"/>
      </c:barChart>
      <c:catAx>
        <c:axId val="1712191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6669392"/>
        <c:crosses val="autoZero"/>
        <c:auto val="1"/>
        <c:lblAlgn val="ctr"/>
        <c:lblOffset val="100"/>
        <c:noMultiLvlLbl val="0"/>
      </c:catAx>
      <c:valAx>
        <c:axId val="175666939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2191840"/>
        <c:crosses val="autoZero"/>
        <c:crossBetween val="between"/>
      </c:valAx>
      <c:spPr>
        <a:noFill/>
        <a:ln>
          <a:noFill/>
        </a:ln>
        <a:effectLst/>
      </c:spPr>
    </c:plotArea>
    <c:legend>
      <c:legendPos val="b"/>
      <c:layout>
        <c:manualLayout>
          <c:xMode val="edge"/>
          <c:yMode val="edge"/>
          <c:x val="0.3431097806989003"/>
          <c:y val="0.88808429791295396"/>
          <c:w val="0.31378033448298304"/>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109</xdr:row>
      <xdr:rowOff>17462</xdr:rowOff>
    </xdr:from>
    <xdr:to>
      <xdr:col>13</xdr:col>
      <xdr:colOff>1603374</xdr:colOff>
      <xdr:row>126</xdr:row>
      <xdr:rowOff>190499</xdr:rowOff>
    </xdr:to>
    <xdr:graphicFrame macro="">
      <xdr:nvGraphicFramePr>
        <xdr:cNvPr id="3" name="Chart 2">
          <a:extLst>
            <a:ext uri="{FF2B5EF4-FFF2-40B4-BE49-F238E27FC236}">
              <a16:creationId xmlns:a16="http://schemas.microsoft.com/office/drawing/2014/main" id="{CA074596-BF1B-ADDB-136C-446F6585B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1.6140000000000001</v>
    <v>0.2</v>
    <v>1.305E-3</v>
    <v>-1.33</v>
    <v>-8.6680000000000004E-3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158.09</v>
    <v>Software &amp; IT Services</v>
    <v>Stock</v>
    <v>45218.999939455469</v>
    <v>0</v>
    <v>153.12</v>
    <v>50585871000</v>
    <v>SNOWFLAKE INC.</v>
    <v>SNOWFLAKE INC.</v>
    <v>154.76</v>
    <v>153.22999999999999</v>
    <v>153.43</v>
    <v>152.1</v>
    <v>329700000</v>
    <v>SNOW</v>
    <v>SNOWFLAKE INC. (XNYS:SNOW)</v>
    <v>2687485</v>
    <v>3707196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4" activePane="bottomRight" state="frozen"/>
      <selection pane="topRight"/>
      <selection pane="bottomLeft"/>
      <selection pane="bottomRight" activeCell="H95" sqref="H9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2750000000</v>
      </c>
      <c r="H3" s="25">
        <v>3606000000</v>
      </c>
      <c r="I3" s="25">
        <v>4751000000</v>
      </c>
      <c r="J3" s="25">
        <v>6537000000</v>
      </c>
      <c r="K3" s="25">
        <v>8543000000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0.33129427461163719</v>
      </c>
      <c r="H4" s="16">
        <f t="shared" si="0"/>
        <v>0.31127272727272737</v>
      </c>
      <c r="I4" s="16">
        <f t="shared" si="0"/>
        <v>0.31752634498058785</v>
      </c>
      <c r="J4" s="16">
        <f t="shared" si="0"/>
        <v>0.37592085876657544</v>
      </c>
      <c r="K4" s="16">
        <f t="shared" si="0"/>
        <v>0.30686859415634093</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G6" s="28">
        <f>G3*G7</f>
        <v>1859000000.0000002</v>
      </c>
      <c r="L6" s="67" t="s">
        <v>111</v>
      </c>
      <c r="M6" s="68" t="s">
        <v>112</v>
      </c>
      <c r="N6" s="68" t="s">
        <v>113</v>
      </c>
      <c r="O6" s="68" t="s">
        <v>114</v>
      </c>
    </row>
    <row r="7" spans="1:38" ht="19" x14ac:dyDescent="0.25">
      <c r="A7" s="5" t="s">
        <v>4</v>
      </c>
      <c r="B7" s="2">
        <v>0.46460000000000001</v>
      </c>
      <c r="C7" s="2">
        <v>0.55969999999999998</v>
      </c>
      <c r="D7" s="2">
        <v>0.59030000000000005</v>
      </c>
      <c r="E7" s="2">
        <v>0.624</v>
      </c>
      <c r="F7" s="2">
        <v>0.65259999999999996</v>
      </c>
      <c r="G7" s="2">
        <v>0.67600000000000005</v>
      </c>
      <c r="L7" s="17">
        <f>G7</f>
        <v>0.67600000000000005</v>
      </c>
      <c r="M7" s="21">
        <f>G21</f>
        <v>9.3600000000000003E-2</v>
      </c>
      <c r="N7" s="21">
        <f>G30</f>
        <v>8.8472727272727272E-2</v>
      </c>
      <c r="O7" s="21">
        <f>G107/G3</f>
        <v>0.19781818181818181</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3">
        <f>N102/F3</f>
        <v>24.488974704924676</v>
      </c>
      <c r="N16" s="33">
        <f>N102/F28</f>
        <v>-63.493854061415455</v>
      </c>
      <c r="O16" s="34">
        <f>N102/F107</f>
        <v>101.88514176262188</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28">
        <v>257400000</v>
      </c>
      <c r="H19" s="28">
        <v>416700000</v>
      </c>
      <c r="I19" s="28">
        <v>691000000</v>
      </c>
      <c r="J19" s="28">
        <v>1006000000</v>
      </c>
      <c r="K19" s="28">
        <v>1742000000</v>
      </c>
      <c r="L19" s="27">
        <f>F40-F56-F61</f>
        <v>3756210000</v>
      </c>
      <c r="M19" s="33">
        <f>N102/G3</f>
        <v>18.394862181818183</v>
      </c>
      <c r="N19" s="33">
        <f>N102/G28</f>
        <v>207.91562268803946</v>
      </c>
      <c r="O19" s="34">
        <f>N102/G105</f>
        <v>255719017003.67648</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-1.3619204562391207</v>
      </c>
      <c r="H20" s="16">
        <f t="shared" ref="H20" si="5">(H19/G19)-1</f>
        <v>0.61888111888111896</v>
      </c>
      <c r="I20" s="16">
        <f t="shared" ref="I20" si="6">(I19/H19)-1</f>
        <v>0.65826733861291098</v>
      </c>
      <c r="J20" s="16">
        <f t="shared" ref="J20" si="7">(J19/I19)-1</f>
        <v>0.45586107091172212</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29">
        <f>G19/G3</f>
        <v>9.3600000000000003E-2</v>
      </c>
      <c r="H21" s="29">
        <f t="shared" ref="H21:K21" si="9">H19/H3</f>
        <v>0.11555740432612313</v>
      </c>
      <c r="I21" s="29">
        <f t="shared" si="9"/>
        <v>0.14544306461797515</v>
      </c>
      <c r="J21" s="29">
        <f t="shared" si="9"/>
        <v>0.15389322319106624</v>
      </c>
      <c r="K21" s="29">
        <f t="shared" si="9"/>
        <v>0.20390963361816691</v>
      </c>
      <c r="M21" s="43" t="s">
        <v>166</v>
      </c>
      <c r="N21" s="19" t="s">
        <v>163</v>
      </c>
      <c r="O21" s="20" t="s">
        <v>165</v>
      </c>
    </row>
    <row r="22" spans="1:15" ht="19" x14ac:dyDescent="0.25">
      <c r="A22" s="6" t="s">
        <v>16</v>
      </c>
      <c r="B22" s="10">
        <v>-185465000</v>
      </c>
      <c r="C22" s="10">
        <v>-358088000</v>
      </c>
      <c r="D22" s="10">
        <v>-543937000</v>
      </c>
      <c r="E22" s="10">
        <v>-715036000</v>
      </c>
      <c r="F22" s="10">
        <v>-842267000</v>
      </c>
      <c r="M22" s="17">
        <f>SUM(H29:K29)/4</f>
        <v>0.38062799679848364</v>
      </c>
      <c r="N22" s="36">
        <f>(-1*F98)/N102</f>
        <v>0</v>
      </c>
      <c r="O22" s="37">
        <f>G107/N102</f>
        <v>1.0753990971115235E-2</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0">
        <v>243300000</v>
      </c>
      <c r="H28" s="30">
        <v>368000000</v>
      </c>
      <c r="I28" s="30">
        <v>588400000</v>
      </c>
      <c r="J28" s="30">
        <v>516000000</v>
      </c>
      <c r="K28" s="30">
        <v>791600000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-1.3053827953885064</v>
      </c>
      <c r="H29" s="16">
        <f t="shared" ref="H29" si="12">(H28/G28)-1</f>
        <v>0.51253596383066169</v>
      </c>
      <c r="I29" s="16">
        <f t="shared" ref="I29" si="13">(I28/H28)-1</f>
        <v>0.5989130434782608</v>
      </c>
      <c r="J29" s="16">
        <f t="shared" ref="J29" si="14">(J28/I28)-1</f>
        <v>-0.12304554724677086</v>
      </c>
      <c r="K29" s="16">
        <f t="shared" ref="K29" si="15">(K28/J28)-1</f>
        <v>0.53410852713178292</v>
      </c>
    </row>
    <row r="30" spans="1:15" ht="19" x14ac:dyDescent="0.25">
      <c r="A30" s="5" t="s">
        <v>23</v>
      </c>
      <c r="B30" s="2">
        <v>-1.8416999999999999</v>
      </c>
      <c r="C30" s="2">
        <v>-1.3165</v>
      </c>
      <c r="D30" s="2">
        <v>-0.91059999999999997</v>
      </c>
      <c r="E30" s="2">
        <v>-0.55759999999999998</v>
      </c>
      <c r="F30" s="2">
        <v>-0.38569999999999999</v>
      </c>
      <c r="G30" s="31">
        <f>G28/G3</f>
        <v>8.8472727272727272E-2</v>
      </c>
      <c r="H30" s="31">
        <f t="shared" ref="H30:K30" si="16">H28/H3</f>
        <v>0.10205213533000555</v>
      </c>
      <c r="I30" s="31">
        <f t="shared" si="16"/>
        <v>0.123847611029257</v>
      </c>
      <c r="J30" s="31">
        <f t="shared" si="16"/>
        <v>7.8935291418081685E-2</v>
      </c>
      <c r="K30" s="31">
        <f t="shared" si="16"/>
        <v>9.2660657848530961E-2</v>
      </c>
    </row>
    <row r="31" spans="1:15" ht="19" x14ac:dyDescent="0.25">
      <c r="A31" s="5" t="s">
        <v>24</v>
      </c>
      <c r="B31" s="12">
        <v>-0.75</v>
      </c>
      <c r="C31" s="12">
        <v>-1.63</v>
      </c>
      <c r="D31" s="12">
        <v>-3.81</v>
      </c>
      <c r="E31" s="12">
        <v>-2.2599999999999998</v>
      </c>
      <c r="F31" s="12">
        <v>-2.5</v>
      </c>
      <c r="G31" s="32">
        <v>0.75</v>
      </c>
      <c r="H31" s="32">
        <v>1.1299999999999999</v>
      </c>
      <c r="I31" s="32">
        <v>1.81</v>
      </c>
      <c r="J31" s="32">
        <v>1.58</v>
      </c>
      <c r="K31" s="32">
        <v>2.4300000000000002</v>
      </c>
    </row>
    <row r="32" spans="1:15" ht="19" x14ac:dyDescent="0.25">
      <c r="A32" s="5" t="s">
        <v>25</v>
      </c>
      <c r="B32" s="12">
        <v>-0.75</v>
      </c>
      <c r="C32" s="12">
        <v>-1.63</v>
      </c>
      <c r="D32" s="12">
        <v>-3.81</v>
      </c>
      <c r="E32" s="12">
        <v>-2.2599999999999998</v>
      </c>
      <c r="F32" s="12">
        <v>-2.5</v>
      </c>
    </row>
    <row r="33" spans="1:7" ht="19" x14ac:dyDescent="0.25">
      <c r="A33" s="5" t="s">
        <v>26</v>
      </c>
      <c r="B33" s="1">
        <v>238369506</v>
      </c>
      <c r="C33" s="1">
        <v>214327427</v>
      </c>
      <c r="D33" s="1">
        <v>141613196</v>
      </c>
      <c r="E33" s="1">
        <v>141613196</v>
      </c>
      <c r="F33" s="1">
        <v>318730000</v>
      </c>
      <c r="G33" s="1" cm="1">
        <f t="array" ref="G33">_FV(A1,"Shares outstanding",TRUE)</f>
        <v>329700000</v>
      </c>
    </row>
    <row r="34" spans="1:7" ht="19" x14ac:dyDescent="0.25">
      <c r="A34" s="5" t="s">
        <v>27</v>
      </c>
      <c r="B34" s="1">
        <v>238369506</v>
      </c>
      <c r="C34" s="1">
        <v>214327427</v>
      </c>
      <c r="D34" s="1">
        <v>141613196</v>
      </c>
      <c r="E34" s="1">
        <v>141613196</v>
      </c>
      <c r="F34" s="1">
        <v>318730000</v>
      </c>
      <c r="G34" s="1" cm="1">
        <f t="array" ref="G34">_FV(A1,"Shares outstanding",TRUE)</f>
        <v>329700000</v>
      </c>
    </row>
    <row r="35" spans="1:7" ht="20" customHeight="1" x14ac:dyDescent="0.25">
      <c r="A35" s="14" t="s">
        <v>102</v>
      </c>
      <c r="B35" s="1"/>
      <c r="C35" s="23">
        <f>(C34-B34)/B34</f>
        <v>-0.10086054799308096</v>
      </c>
      <c r="D35" s="23">
        <f t="shared" ref="D35:G35" si="17">(D34-C34)/C34</f>
        <v>-0.33926703650485202</v>
      </c>
      <c r="E35" s="23">
        <f t="shared" si="17"/>
        <v>0</v>
      </c>
      <c r="F35" s="23">
        <f t="shared" si="17"/>
        <v>1.2507083308818199</v>
      </c>
      <c r="G35" s="23">
        <f t="shared" si="17"/>
        <v>3.4417845825620429E-2</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116541000</v>
      </c>
      <c r="C38" s="1">
        <v>127206000</v>
      </c>
      <c r="D38" s="1">
        <v>820177000</v>
      </c>
      <c r="E38" s="1">
        <v>1085729000</v>
      </c>
      <c r="F38" s="1">
        <v>939902000</v>
      </c>
    </row>
    <row r="39" spans="1:7" ht="19" x14ac:dyDescent="0.25">
      <c r="A39" s="5" t="s">
        <v>31</v>
      </c>
      <c r="B39" s="1">
        <v>492257000</v>
      </c>
      <c r="C39" s="1">
        <v>306844000</v>
      </c>
      <c r="D39" s="1">
        <v>3087887000</v>
      </c>
      <c r="E39" s="1">
        <v>2766364000</v>
      </c>
      <c r="F39" s="1">
        <v>3067966000</v>
      </c>
    </row>
    <row r="40" spans="1:7" ht="19" x14ac:dyDescent="0.25">
      <c r="A40" s="5" t="s">
        <v>32</v>
      </c>
      <c r="B40" s="1">
        <v>608798000</v>
      </c>
      <c r="C40" s="1">
        <v>434050000</v>
      </c>
      <c r="D40" s="1">
        <v>3908064000</v>
      </c>
      <c r="E40" s="1">
        <v>3852093000</v>
      </c>
      <c r="F40" s="1">
        <v>4007868000</v>
      </c>
    </row>
    <row r="41" spans="1:7" ht="19" x14ac:dyDescent="0.25">
      <c r="A41" s="5" t="s">
        <v>33</v>
      </c>
      <c r="B41" s="1">
        <v>63359000</v>
      </c>
      <c r="C41" s="1">
        <v>179459000</v>
      </c>
      <c r="D41" s="1">
        <v>294017000</v>
      </c>
      <c r="E41" s="1">
        <v>545629000</v>
      </c>
      <c r="F41" s="1">
        <v>715821000</v>
      </c>
    </row>
    <row r="42" spans="1:7" ht="19" x14ac:dyDescent="0.25">
      <c r="A42" s="5" t="s">
        <v>34</v>
      </c>
      <c r="B42" s="1" t="s">
        <v>91</v>
      </c>
      <c r="C42" s="1" t="s">
        <v>91</v>
      </c>
      <c r="D42" s="1" t="s">
        <v>91</v>
      </c>
      <c r="E42" s="1" t="s">
        <v>91</v>
      </c>
      <c r="F42" s="1" t="s">
        <v>91</v>
      </c>
    </row>
    <row r="43" spans="1:7" ht="19" x14ac:dyDescent="0.25">
      <c r="A43" s="5" t="s">
        <v>35</v>
      </c>
      <c r="B43" s="1">
        <v>26795000</v>
      </c>
      <c r="C43" s="1">
        <v>51685000</v>
      </c>
      <c r="D43" s="1">
        <v>98571000</v>
      </c>
      <c r="E43" s="1">
        <v>200921000</v>
      </c>
      <c r="F43" s="1">
        <v>261001000</v>
      </c>
    </row>
    <row r="44" spans="1:7" ht="19" x14ac:dyDescent="0.25">
      <c r="A44" s="6" t="s">
        <v>36</v>
      </c>
      <c r="B44" s="10">
        <v>698952000</v>
      </c>
      <c r="C44" s="10">
        <v>665194000</v>
      </c>
      <c r="D44" s="10">
        <v>4300652000</v>
      </c>
      <c r="E44" s="10">
        <v>4598643000</v>
      </c>
      <c r="F44" s="10">
        <v>4984690000</v>
      </c>
    </row>
    <row r="45" spans="1:7" ht="19" x14ac:dyDescent="0.25">
      <c r="A45" s="5" t="s">
        <v>37</v>
      </c>
      <c r="B45" s="1">
        <v>22756000</v>
      </c>
      <c r="C45" s="1">
        <v>223112000</v>
      </c>
      <c r="D45" s="1">
        <v>255786000</v>
      </c>
      <c r="E45" s="1">
        <v>295435000</v>
      </c>
      <c r="F45" s="1">
        <v>392089000</v>
      </c>
    </row>
    <row r="46" spans="1:7" ht="19" x14ac:dyDescent="0.25">
      <c r="A46" s="5" t="s">
        <v>38</v>
      </c>
      <c r="B46" s="1" t="s">
        <v>91</v>
      </c>
      <c r="C46" s="1">
        <v>7049000</v>
      </c>
      <c r="D46" s="1">
        <v>8449000</v>
      </c>
      <c r="E46" s="1">
        <v>8449000</v>
      </c>
      <c r="F46" s="1">
        <v>657370000</v>
      </c>
    </row>
    <row r="47" spans="1:7" ht="19" x14ac:dyDescent="0.25">
      <c r="A47" s="5" t="s">
        <v>39</v>
      </c>
      <c r="B47" s="1">
        <v>20000</v>
      </c>
      <c r="C47" s="1">
        <v>4795000</v>
      </c>
      <c r="D47" s="1">
        <v>16091000</v>
      </c>
      <c r="E47" s="1">
        <v>37141000</v>
      </c>
      <c r="F47" s="1">
        <v>186013000</v>
      </c>
    </row>
    <row r="48" spans="1:7"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19" x14ac:dyDescent="0.25">
      <c r="A83" s="5" t="s">
        <v>34</v>
      </c>
      <c r="B83" s="1" t="s">
        <v>91</v>
      </c>
      <c r="C83" s="1" t="s">
        <v>91</v>
      </c>
      <c r="D83" s="1" t="s">
        <v>91</v>
      </c>
      <c r="E83" s="1" t="s">
        <v>91</v>
      </c>
      <c r="F83" s="1" t="s">
        <v>91</v>
      </c>
    </row>
    <row r="84" spans="1:14" ht="19" customHeight="1" x14ac:dyDescent="0.25">
      <c r="A84" s="5" t="s">
        <v>47</v>
      </c>
      <c r="B84" s="1">
        <v>5170000</v>
      </c>
      <c r="C84" s="1">
        <v>1116000</v>
      </c>
      <c r="D84" s="1">
        <v>-2878000</v>
      </c>
      <c r="E84" s="1">
        <v>7371000</v>
      </c>
      <c r="F84" s="1">
        <v>8024000</v>
      </c>
      <c r="G84" s="44"/>
      <c r="H84" s="44"/>
      <c r="I84" s="44"/>
      <c r="J84" s="44"/>
      <c r="K84" s="44"/>
      <c r="L84" s="44"/>
      <c r="M84" s="73" t="s">
        <v>123</v>
      </c>
      <c r="N84" s="74"/>
    </row>
    <row r="85" spans="1:14" ht="20" customHeight="1" x14ac:dyDescent="0.25">
      <c r="A85" s="5" t="s">
        <v>71</v>
      </c>
      <c r="B85" s="1">
        <v>43287000</v>
      </c>
      <c r="C85" s="1">
        <v>154366000</v>
      </c>
      <c r="D85" s="1">
        <v>261437000</v>
      </c>
      <c r="E85" s="1">
        <v>430344000</v>
      </c>
      <c r="F85" s="1" t="s">
        <v>91</v>
      </c>
      <c r="G85" s="44"/>
      <c r="H85" s="44"/>
      <c r="I85" s="44"/>
      <c r="J85" s="44"/>
      <c r="K85" s="44"/>
      <c r="L85" s="44"/>
      <c r="M85" s="75" t="s">
        <v>124</v>
      </c>
      <c r="N85" s="75"/>
    </row>
    <row r="86" spans="1:14" ht="20" x14ac:dyDescent="0.25">
      <c r="A86" s="5" t="s">
        <v>72</v>
      </c>
      <c r="B86" s="1">
        <v>4056000</v>
      </c>
      <c r="C86" s="1">
        <v>40715000</v>
      </c>
      <c r="D86" s="1">
        <v>75526000</v>
      </c>
      <c r="E86" s="1">
        <v>95107000</v>
      </c>
      <c r="F86" s="1" t="s">
        <v>91</v>
      </c>
      <c r="G86" s="44"/>
      <c r="H86" s="44"/>
      <c r="I86" s="44"/>
      <c r="J86" s="44"/>
      <c r="K86" s="44"/>
      <c r="L86" s="44"/>
      <c r="M86" s="38" t="s">
        <v>125</v>
      </c>
      <c r="N86" s="45">
        <f>F17</f>
        <v>73839000</v>
      </c>
    </row>
    <row r="87" spans="1:14" ht="20" x14ac:dyDescent="0.25">
      <c r="A87" s="6" t="s">
        <v>73</v>
      </c>
      <c r="B87" s="10">
        <v>-143982000</v>
      </c>
      <c r="C87" s="10">
        <v>-176558000</v>
      </c>
      <c r="D87" s="10">
        <v>-45417000</v>
      </c>
      <c r="E87" s="10">
        <v>110179000</v>
      </c>
      <c r="F87" s="10">
        <v>545639000</v>
      </c>
      <c r="G87" s="44"/>
      <c r="H87" s="44"/>
      <c r="I87" s="44"/>
      <c r="J87" s="44"/>
      <c r="K87" s="44"/>
      <c r="L87" s="44"/>
      <c r="M87" s="38" t="s">
        <v>126</v>
      </c>
      <c r="N87" s="45">
        <f>F56</f>
        <v>27301000</v>
      </c>
    </row>
    <row r="88" spans="1:14" ht="20" x14ac:dyDescent="0.25">
      <c r="A88" s="5" t="s">
        <v>74</v>
      </c>
      <c r="B88" s="1">
        <v>-4016000</v>
      </c>
      <c r="C88" s="1">
        <v>-22848000</v>
      </c>
      <c r="D88" s="1">
        <v>-35037000</v>
      </c>
      <c r="E88" s="1">
        <v>-16221000</v>
      </c>
      <c r="F88" s="1">
        <v>-25128000</v>
      </c>
      <c r="G88" s="44"/>
      <c r="H88" s="44"/>
      <c r="I88" s="44"/>
      <c r="J88" s="44"/>
      <c r="K88" s="44"/>
      <c r="L88" s="44"/>
      <c r="M88" s="38" t="s">
        <v>127</v>
      </c>
      <c r="N88" s="45">
        <f>F61</f>
        <v>224357000</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G89" s="44"/>
      <c r="H89" s="44"/>
      <c r="I89" s="44"/>
      <c r="J89" s="44"/>
      <c r="K89" s="44"/>
      <c r="L89" s="44"/>
      <c r="M89" s="39" t="s">
        <v>128</v>
      </c>
      <c r="N89" s="46">
        <f>N86/(N87+N88)</f>
        <v>0.29341010418901842</v>
      </c>
    </row>
    <row r="90" spans="1:14" ht="20" x14ac:dyDescent="0.25">
      <c r="A90" s="5" t="s">
        <v>75</v>
      </c>
      <c r="B90" s="1" t="s">
        <v>91</v>
      </c>
      <c r="C90" s="1" t="s">
        <v>91</v>
      </c>
      <c r="D90" s="1">
        <v>-6035000</v>
      </c>
      <c r="E90" s="1" t="s">
        <v>91</v>
      </c>
      <c r="F90" s="1">
        <v>-362609000</v>
      </c>
      <c r="G90" s="44"/>
      <c r="H90" s="44"/>
      <c r="I90" s="44"/>
      <c r="J90" s="44"/>
      <c r="K90" s="44"/>
      <c r="L90" s="44"/>
      <c r="M90" s="38" t="s">
        <v>105</v>
      </c>
      <c r="N90" s="45">
        <f>F27</f>
        <v>18467000</v>
      </c>
    </row>
    <row r="91" spans="1:14" ht="20" x14ac:dyDescent="0.25">
      <c r="A91" s="5" t="s">
        <v>76</v>
      </c>
      <c r="B91" s="1">
        <v>-738383000</v>
      </c>
      <c r="C91" s="1">
        <v>-622854000</v>
      </c>
      <c r="D91" s="1">
        <v>-4859852000</v>
      </c>
      <c r="E91" s="1">
        <v>-4250338000</v>
      </c>
      <c r="F91" s="1">
        <v>-3854886000</v>
      </c>
      <c r="G91" s="44"/>
      <c r="H91" s="44"/>
      <c r="I91" s="44"/>
      <c r="J91" s="44"/>
      <c r="K91" s="44"/>
      <c r="L91" s="44"/>
      <c r="M91" s="38" t="s">
        <v>19</v>
      </c>
      <c r="N91" s="45">
        <f>F25</f>
        <v>-815993000</v>
      </c>
    </row>
    <row r="92" spans="1:14" ht="20" x14ac:dyDescent="0.25">
      <c r="A92" s="5" t="s">
        <v>77</v>
      </c>
      <c r="B92" s="1">
        <v>379757000</v>
      </c>
      <c r="C92" s="1">
        <v>790511000</v>
      </c>
      <c r="D92" s="1">
        <v>877946000</v>
      </c>
      <c r="E92" s="1">
        <v>4282865000</v>
      </c>
      <c r="F92" s="1">
        <v>3715885000</v>
      </c>
      <c r="G92" s="44"/>
      <c r="H92" s="44"/>
      <c r="I92" s="44"/>
      <c r="J92" s="44"/>
      <c r="K92" s="44"/>
      <c r="L92" s="44"/>
      <c r="M92" s="39" t="s">
        <v>129</v>
      </c>
      <c r="N92" s="46">
        <f>N90/N91</f>
        <v>-2.263132159221954E-2</v>
      </c>
    </row>
    <row r="93" spans="1:14" ht="19" customHeight="1" x14ac:dyDescent="0.25">
      <c r="A93" s="5" t="s">
        <v>78</v>
      </c>
      <c r="B93" s="1" t="s">
        <v>91</v>
      </c>
      <c r="C93" s="1">
        <v>-6314000</v>
      </c>
      <c r="D93" s="1">
        <v>-13667000</v>
      </c>
      <c r="E93" s="1">
        <v>-37106000</v>
      </c>
      <c r="F93" s="1">
        <v>-71147000</v>
      </c>
      <c r="G93" s="44"/>
      <c r="H93" s="44"/>
      <c r="I93" s="44"/>
      <c r="J93" s="44"/>
      <c r="K93" s="44"/>
      <c r="L93" s="44"/>
      <c r="M93" s="39" t="s">
        <v>130</v>
      </c>
      <c r="N93" s="46">
        <f>N89*(1-N92)</f>
        <v>0.30005036261532675</v>
      </c>
    </row>
    <row r="94" spans="1:14" ht="21" customHeight="1" x14ac:dyDescent="0.25">
      <c r="A94" s="6" t="s">
        <v>79</v>
      </c>
      <c r="B94" s="10">
        <v>-362642000</v>
      </c>
      <c r="C94" s="10">
        <v>138495000</v>
      </c>
      <c r="D94" s="10">
        <v>-4036645000</v>
      </c>
      <c r="E94" s="10">
        <v>-20800000</v>
      </c>
      <c r="F94" s="10">
        <v>-597885000</v>
      </c>
      <c r="G94" s="44"/>
      <c r="H94" s="44"/>
      <c r="I94" s="44"/>
      <c r="J94" s="44"/>
      <c r="K94" s="44"/>
      <c r="L94" s="44"/>
      <c r="M94" s="75" t="s">
        <v>131</v>
      </c>
      <c r="N94" s="75"/>
    </row>
    <row r="95" spans="1:14" ht="20" x14ac:dyDescent="0.25">
      <c r="A95" s="5" t="s">
        <v>80</v>
      </c>
      <c r="B95" s="1" t="s">
        <v>91</v>
      </c>
      <c r="C95" s="1" t="s">
        <v>91</v>
      </c>
      <c r="D95" s="1" t="s">
        <v>91</v>
      </c>
      <c r="E95" s="1" t="s">
        <v>91</v>
      </c>
      <c r="F95" s="1" t="s">
        <v>91</v>
      </c>
      <c r="G95" s="44"/>
      <c r="H95" s="44"/>
      <c r="I95" s="44"/>
      <c r="J95" s="44"/>
      <c r="K95" s="44"/>
      <c r="L95" s="44"/>
      <c r="M95" s="38" t="s">
        <v>132</v>
      </c>
      <c r="N95" s="69">
        <f>'[1]US Treasury Bonds'!$C$8</f>
        <v>4.9020000000000001E-2</v>
      </c>
    </row>
    <row r="96" spans="1:14" ht="20" x14ac:dyDescent="0.25">
      <c r="A96" s="5" t="s">
        <v>81</v>
      </c>
      <c r="B96" s="1" t="s">
        <v>91</v>
      </c>
      <c r="C96" s="1" t="s">
        <v>91</v>
      </c>
      <c r="D96" s="1">
        <v>4242284000</v>
      </c>
      <c r="E96" s="1" t="s">
        <v>91</v>
      </c>
      <c r="F96" s="1" t="s">
        <v>91</v>
      </c>
      <c r="G96" s="44"/>
      <c r="H96" s="44"/>
      <c r="I96" s="44"/>
      <c r="J96" s="44"/>
      <c r="K96" s="44"/>
      <c r="L96" s="44"/>
      <c r="M96" s="38" t="s">
        <v>133</v>
      </c>
      <c r="N96" s="48" cm="1">
        <f t="array" ref="N96">_FV(A1,"Beta")</f>
        <v>1.6140000000000001</v>
      </c>
    </row>
    <row r="97" spans="1:14" ht="20" x14ac:dyDescent="0.25">
      <c r="A97" s="5" t="s">
        <v>82</v>
      </c>
      <c r="B97" s="1">
        <v>-29644000</v>
      </c>
      <c r="C97" s="1" t="s">
        <v>91</v>
      </c>
      <c r="D97" s="1" t="s">
        <v>91</v>
      </c>
      <c r="E97" s="1" t="s">
        <v>91</v>
      </c>
      <c r="F97" s="1" t="s">
        <v>91</v>
      </c>
      <c r="G97" s="44"/>
      <c r="H97" s="44"/>
      <c r="I97" s="44"/>
      <c r="J97" s="44"/>
      <c r="K97" s="44"/>
      <c r="L97" s="44"/>
      <c r="M97" s="38" t="s">
        <v>134</v>
      </c>
      <c r="N97" s="47">
        <v>8.4000000000000005E-2</v>
      </c>
    </row>
    <row r="98" spans="1:14" ht="19" customHeight="1" x14ac:dyDescent="0.25">
      <c r="A98" s="5" t="s">
        <v>83</v>
      </c>
      <c r="B98" s="1" t="s">
        <v>91</v>
      </c>
      <c r="C98" s="1" t="s">
        <v>91</v>
      </c>
      <c r="D98" s="1" t="s">
        <v>91</v>
      </c>
      <c r="E98" s="1" t="s">
        <v>91</v>
      </c>
      <c r="F98" s="1">
        <v>0</v>
      </c>
      <c r="G98" s="44"/>
      <c r="H98" s="44"/>
      <c r="I98" s="44"/>
      <c r="J98" s="44"/>
      <c r="K98" s="44"/>
      <c r="L98" s="44"/>
      <c r="M98" s="39" t="s">
        <v>135</v>
      </c>
      <c r="N98" s="46">
        <f>(N95)+((N96)*(N97-N95))</f>
        <v>0.10547772000000001</v>
      </c>
    </row>
    <row r="99" spans="1:14" ht="21" customHeight="1" x14ac:dyDescent="0.25">
      <c r="A99" s="5" t="s">
        <v>84</v>
      </c>
      <c r="B99" s="1">
        <v>443245000</v>
      </c>
      <c r="C99" s="1">
        <v>57469000</v>
      </c>
      <c r="D99" s="1">
        <v>533006000</v>
      </c>
      <c r="E99" s="1">
        <v>178198000</v>
      </c>
      <c r="F99" s="1">
        <v>-92624000</v>
      </c>
      <c r="G99" s="44"/>
      <c r="H99" s="44"/>
      <c r="I99" s="44"/>
      <c r="J99" s="44"/>
      <c r="K99" s="44"/>
      <c r="L99" s="44"/>
      <c r="M99" s="75" t="s">
        <v>136</v>
      </c>
      <c r="N99" s="75"/>
    </row>
    <row r="100" spans="1:14" ht="20" x14ac:dyDescent="0.25">
      <c r="A100" s="6" t="s">
        <v>85</v>
      </c>
      <c r="B100" s="10">
        <v>413601000</v>
      </c>
      <c r="C100" s="10">
        <v>57469000</v>
      </c>
      <c r="D100" s="10">
        <v>4775290000</v>
      </c>
      <c r="E100" s="10">
        <v>178198000</v>
      </c>
      <c r="F100" s="10">
        <v>-92624000</v>
      </c>
      <c r="G100" s="44"/>
      <c r="H100" s="44"/>
      <c r="I100" s="44"/>
      <c r="J100" s="44"/>
      <c r="K100" s="44"/>
      <c r="L100" s="44"/>
      <c r="M100" s="38" t="s">
        <v>137</v>
      </c>
      <c r="N100" s="45">
        <f>N87+N88</f>
        <v>251658000</v>
      </c>
    </row>
    <row r="101" spans="1:14" ht="20" x14ac:dyDescent="0.25">
      <c r="A101" s="5" t="s">
        <v>86</v>
      </c>
      <c r="B101" s="1" t="s">
        <v>91</v>
      </c>
      <c r="C101" s="1" t="s">
        <v>91</v>
      </c>
      <c r="D101" s="1">
        <v>-11000</v>
      </c>
      <c r="E101" s="1">
        <v>-236000</v>
      </c>
      <c r="F101" s="1">
        <v>-933000</v>
      </c>
      <c r="G101" s="44"/>
      <c r="H101" s="44"/>
      <c r="I101" s="44"/>
      <c r="J101" s="44"/>
      <c r="K101" s="44"/>
      <c r="L101" s="44"/>
      <c r="M101" s="39" t="s">
        <v>138</v>
      </c>
      <c r="N101" s="46">
        <f>N100/N104</f>
        <v>4.9502405988300496E-3</v>
      </c>
    </row>
    <row r="102" spans="1:14" ht="20" x14ac:dyDescent="0.25">
      <c r="A102" s="6" t="s">
        <v>87</v>
      </c>
      <c r="B102" s="10">
        <v>-93023000</v>
      </c>
      <c r="C102" s="10">
        <v>19406000</v>
      </c>
      <c r="D102" s="10">
        <v>693217000</v>
      </c>
      <c r="E102" s="10">
        <v>267341000</v>
      </c>
      <c r="F102" s="10">
        <v>-145803000</v>
      </c>
      <c r="G102" s="44"/>
      <c r="H102" s="44"/>
      <c r="I102" s="44"/>
      <c r="J102" s="44"/>
      <c r="K102" s="44"/>
      <c r="L102" s="44"/>
      <c r="M102" s="38" t="s">
        <v>139</v>
      </c>
      <c r="N102" s="49" cm="1">
        <f t="array" ref="N102">_FV(A1,"Market cap",TRUE)</f>
        <v>50585871000</v>
      </c>
    </row>
    <row r="103" spans="1:14" ht="20" x14ac:dyDescent="0.25">
      <c r="A103" s="5" t="s">
        <v>88</v>
      </c>
      <c r="B103" s="1">
        <v>215593000</v>
      </c>
      <c r="C103" s="1">
        <v>122570000</v>
      </c>
      <c r="D103" s="1">
        <v>141976000</v>
      </c>
      <c r="E103" s="1">
        <v>835193000</v>
      </c>
      <c r="F103" s="1">
        <v>1102534000</v>
      </c>
      <c r="G103" s="44"/>
      <c r="H103" s="44"/>
      <c r="I103" s="44"/>
      <c r="J103" s="44"/>
      <c r="K103" s="44"/>
      <c r="L103" s="44"/>
      <c r="M103" s="39" t="s">
        <v>140</v>
      </c>
      <c r="N103" s="46">
        <f>N102/N104</f>
        <v>0.99504975940116991</v>
      </c>
    </row>
    <row r="104" spans="1:14" ht="20" customHeight="1" thickBot="1" x14ac:dyDescent="0.3">
      <c r="A104" s="7" t="s">
        <v>89</v>
      </c>
      <c r="B104" s="11">
        <v>122570000</v>
      </c>
      <c r="C104" s="11">
        <v>141976000</v>
      </c>
      <c r="D104" s="11">
        <v>835193000</v>
      </c>
      <c r="E104" s="11">
        <v>1102534000</v>
      </c>
      <c r="F104" s="11">
        <v>956731000</v>
      </c>
      <c r="G104" s="77" t="s">
        <v>114</v>
      </c>
      <c r="H104" s="77"/>
      <c r="I104" s="77"/>
      <c r="J104" s="77"/>
      <c r="K104" s="77"/>
      <c r="L104" s="44"/>
      <c r="M104" s="39" t="s">
        <v>141</v>
      </c>
      <c r="N104" s="50">
        <f>N100+N102</f>
        <v>50837529000</v>
      </c>
    </row>
    <row r="105" spans="1:14" ht="21" customHeight="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70">
        <f>G107/G3</f>
        <v>0.19781818181818181</v>
      </c>
      <c r="H105" s="70">
        <f>H107/H3</f>
        <v>0.20881863560732114</v>
      </c>
      <c r="I105" s="70">
        <f>I107/I3</f>
        <v>0.23153020416754366</v>
      </c>
      <c r="J105" s="70">
        <f>J107/J3</f>
        <v>0.28529906685023709</v>
      </c>
      <c r="K105" s="70">
        <f>K107/K3</f>
        <v>0.32342268523937728</v>
      </c>
      <c r="L105" s="71" t="s">
        <v>164</v>
      </c>
      <c r="M105" s="75" t="s">
        <v>142</v>
      </c>
      <c r="N105" s="75"/>
    </row>
    <row r="106" spans="1:14" ht="20" x14ac:dyDescent="0.25">
      <c r="A106" s="14" t="s">
        <v>160</v>
      </c>
      <c r="B106" s="1"/>
      <c r="C106" s="15">
        <f t="shared" ref="C106:K106" si="21">(C107/B107)-1</f>
        <v>0.34735604535196418</v>
      </c>
      <c r="D106" s="15">
        <f t="shared" si="21"/>
        <v>-0.5279931396246853</v>
      </c>
      <c r="E106" s="15">
        <f t="shared" si="21"/>
        <v>-1.6040309813962876</v>
      </c>
      <c r="F106" s="15">
        <f t="shared" si="21"/>
        <v>7.7331844086399784</v>
      </c>
      <c r="G106" s="52">
        <f t="shared" si="21"/>
        <v>9.5671894606031538E-2</v>
      </c>
      <c r="H106" s="52">
        <f t="shared" si="21"/>
        <v>0.38419117647058831</v>
      </c>
      <c r="I106" s="52">
        <f t="shared" si="21"/>
        <v>0.46082337317397082</v>
      </c>
      <c r="J106" s="52">
        <f t="shared" si="21"/>
        <v>0.69545454545454555</v>
      </c>
      <c r="K106" s="52">
        <f t="shared" si="21"/>
        <v>0.48150134048257365</v>
      </c>
      <c r="L106" s="53">
        <f>SUM(G106:K106)/5</f>
        <v>0.42352846603754202</v>
      </c>
      <c r="M106" s="40" t="s">
        <v>106</v>
      </c>
      <c r="N106" s="54">
        <f>(N101*N93)+(N103*N98)</f>
        <v>0.10644090139489605</v>
      </c>
    </row>
    <row r="107" spans="1:14" ht="19" x14ac:dyDescent="0.25">
      <c r="A107" s="35" t="s">
        <v>161</v>
      </c>
      <c r="B107" s="1">
        <v>-147998000</v>
      </c>
      <c r="C107" s="1">
        <v>-199406000</v>
      </c>
      <c r="D107" s="1">
        <v>-94121000</v>
      </c>
      <c r="E107" s="1">
        <v>56852000</v>
      </c>
      <c r="F107" s="1">
        <v>496499000</v>
      </c>
      <c r="G107" s="55">
        <v>544000000</v>
      </c>
      <c r="H107" s="55">
        <v>753000000</v>
      </c>
      <c r="I107" s="55">
        <v>1100000000</v>
      </c>
      <c r="J107" s="55">
        <v>1865000000</v>
      </c>
      <c r="K107" s="55">
        <v>2763000000</v>
      </c>
      <c r="L107" s="51" t="s">
        <v>162</v>
      </c>
      <c r="M107" s="56" t="s">
        <v>143</v>
      </c>
      <c r="N107" s="41">
        <f>(SUM(G4:K4)/5)</f>
        <v>0.32857655995757373</v>
      </c>
    </row>
    <row r="108" spans="1:14" ht="19" x14ac:dyDescent="0.2">
      <c r="G108" s="72"/>
      <c r="H108" s="72"/>
      <c r="I108" s="72"/>
      <c r="J108" s="72"/>
      <c r="K108" s="57">
        <f>K107*(1+N108)/(N109-N108)</f>
        <v>34774602828.468788</v>
      </c>
      <c r="L108" s="58" t="s">
        <v>144</v>
      </c>
      <c r="M108" s="59" t="s">
        <v>145</v>
      </c>
      <c r="N108" s="42">
        <v>2.5000000000000001E-2</v>
      </c>
    </row>
    <row r="109" spans="1:14" ht="19" x14ac:dyDescent="0.2">
      <c r="G109" s="57">
        <f t="shared" ref="G109:J109" si="22">G108+G107</f>
        <v>544000000</v>
      </c>
      <c r="H109" s="57">
        <f t="shared" si="22"/>
        <v>753000000</v>
      </c>
      <c r="I109" s="57">
        <f t="shared" si="22"/>
        <v>1100000000</v>
      </c>
      <c r="J109" s="57">
        <f t="shared" si="22"/>
        <v>1865000000</v>
      </c>
      <c r="K109" s="57">
        <f>K108+K107</f>
        <v>37537602828.468788</v>
      </c>
      <c r="L109" s="58" t="s">
        <v>141</v>
      </c>
      <c r="M109" s="60" t="s">
        <v>146</v>
      </c>
      <c r="N109" s="41">
        <f>N106</f>
        <v>0.10644090139489605</v>
      </c>
    </row>
    <row r="110" spans="1:14" ht="19" x14ac:dyDescent="0.2">
      <c r="G110" s="76" t="s">
        <v>147</v>
      </c>
      <c r="H110" s="76"/>
      <c r="I110" s="44"/>
      <c r="J110" s="44"/>
      <c r="K110" s="44"/>
      <c r="L110" s="44"/>
      <c r="M110" s="44"/>
      <c r="N110" s="44"/>
    </row>
    <row r="111" spans="1:14" ht="20" x14ac:dyDescent="0.2">
      <c r="G111" s="61" t="s">
        <v>148</v>
      </c>
      <c r="H111" s="49">
        <f>NPV(N109,G109,H109,I109,J109,K109)</f>
        <v>25800612303.559452</v>
      </c>
      <c r="I111" s="44"/>
      <c r="J111" s="44"/>
      <c r="K111" s="44"/>
      <c r="L111" s="44"/>
      <c r="M111" s="44"/>
      <c r="N111" s="44"/>
    </row>
    <row r="112" spans="1:14" ht="20" x14ac:dyDescent="0.2">
      <c r="G112" s="61" t="s">
        <v>149</v>
      </c>
      <c r="H112" s="49">
        <f>F40</f>
        <v>4007868000</v>
      </c>
      <c r="I112" s="44"/>
      <c r="J112" s="44"/>
      <c r="K112" s="44"/>
      <c r="L112" s="44"/>
      <c r="M112" s="44"/>
      <c r="N112" s="44"/>
    </row>
    <row r="113" spans="7:14" ht="20" x14ac:dyDescent="0.2">
      <c r="G113" s="61" t="s">
        <v>137</v>
      </c>
      <c r="H113" s="49">
        <f>N100</f>
        <v>251658000</v>
      </c>
      <c r="I113" s="44"/>
      <c r="J113" s="44"/>
      <c r="K113" s="44"/>
      <c r="L113" s="44"/>
      <c r="M113" s="44"/>
      <c r="N113" s="44"/>
    </row>
    <row r="114" spans="7:14" ht="20" x14ac:dyDescent="0.2">
      <c r="G114" s="61" t="s">
        <v>150</v>
      </c>
      <c r="H114" s="49">
        <f>H111+H112-H113</f>
        <v>29556822303.559452</v>
      </c>
      <c r="I114" s="44"/>
      <c r="J114" s="44"/>
      <c r="K114" s="44"/>
      <c r="L114" s="44"/>
      <c r="M114" s="44"/>
      <c r="N114" s="44"/>
    </row>
    <row r="115" spans="7:14" ht="20" x14ac:dyDescent="0.2">
      <c r="G115" s="61" t="s">
        <v>167</v>
      </c>
      <c r="H115" s="61">
        <f>F34*(1+(5*0.03))</f>
        <v>366539500</v>
      </c>
      <c r="I115" s="44"/>
      <c r="J115" s="44"/>
      <c r="K115" s="44"/>
      <c r="L115" s="44"/>
      <c r="M115" s="44"/>
      <c r="N115" s="44"/>
    </row>
    <row r="116" spans="7:14" ht="20" x14ac:dyDescent="0.2">
      <c r="G116" s="62" t="s">
        <v>151</v>
      </c>
      <c r="H116" s="63">
        <f>H114/H115</f>
        <v>80.637481918209232</v>
      </c>
      <c r="I116" s="44"/>
      <c r="J116" s="44"/>
      <c r="K116" s="44"/>
      <c r="L116" s="44"/>
      <c r="M116" s="44"/>
      <c r="N116" s="44"/>
    </row>
    <row r="117" spans="7:14" ht="20" x14ac:dyDescent="0.2">
      <c r="G117" s="61" t="s">
        <v>152</v>
      </c>
      <c r="H117" s="64" cm="1">
        <f t="array" ref="H117">_FV(A1,"Price")</f>
        <v>153.43</v>
      </c>
      <c r="I117" s="44"/>
      <c r="J117" s="44"/>
      <c r="K117" s="44"/>
      <c r="L117" s="44"/>
      <c r="M117" s="44"/>
      <c r="N117" s="44"/>
    </row>
    <row r="118" spans="7:14" ht="20" x14ac:dyDescent="0.2">
      <c r="G118" s="62" t="s">
        <v>153</v>
      </c>
      <c r="H118" s="65">
        <f>H116/H117-1</f>
        <v>-0.47443471343147214</v>
      </c>
      <c r="I118" s="44"/>
      <c r="J118" s="44"/>
      <c r="K118" s="44"/>
      <c r="L118" s="44"/>
      <c r="M118" s="44"/>
      <c r="N118" s="44"/>
    </row>
    <row r="119" spans="7:14" ht="20" x14ac:dyDescent="0.2">
      <c r="G119" s="62" t="s">
        <v>154</v>
      </c>
      <c r="H119" s="66" t="str">
        <f>IF(H116&gt;H117,"BUY","SELL")</f>
        <v>SELL</v>
      </c>
      <c r="I119" s="44"/>
      <c r="J119" s="44"/>
      <c r="K119" s="44"/>
      <c r="L119" s="44"/>
      <c r="M119" s="44"/>
      <c r="N119" s="44"/>
    </row>
  </sheetData>
  <mergeCells count="7">
    <mergeCell ref="M84:N84"/>
    <mergeCell ref="M85:N85"/>
    <mergeCell ref="G110:H110"/>
    <mergeCell ref="G104:K104"/>
    <mergeCell ref="M105:N105"/>
    <mergeCell ref="M99:N99"/>
    <mergeCell ref="M94:N9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7"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2023-03-13T17:51:05Z</dcterms:created>
  <dcterms:modified xsi:type="dcterms:W3CDTF">2023-10-20T04:27:04Z</dcterms:modified>
</cp:coreProperties>
</file>