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933DD43-C093-E94E-B9FC-5C46C717086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7" i="1" l="1"/>
  <c r="AI7" i="1"/>
  <c r="AH7" i="1"/>
  <c r="AG7" i="1"/>
  <c r="AB6" i="1"/>
  <c r="AH22" i="1"/>
  <c r="AB106" i="1"/>
  <c r="AI13" i="1" l="1"/>
  <c r="AF106" i="1"/>
  <c r="AE106" i="1"/>
  <c r="AD106" i="1"/>
  <c r="AC106" i="1"/>
  <c r="AF30" i="1"/>
  <c r="AE30" i="1"/>
  <c r="AD30" i="1"/>
  <c r="AC30" i="1"/>
  <c r="AB30" i="1"/>
  <c r="AF29" i="1"/>
  <c r="AE29" i="1"/>
  <c r="AD29" i="1"/>
  <c r="AC29" i="1"/>
  <c r="AB29" i="1"/>
  <c r="AF21" i="1"/>
  <c r="AE21" i="1"/>
  <c r="AD21" i="1"/>
  <c r="AC21" i="1"/>
  <c r="AB21" i="1"/>
  <c r="AF20" i="1"/>
  <c r="AE20" i="1"/>
  <c r="AD20" i="1"/>
  <c r="AC20" i="1"/>
  <c r="AB20" i="1"/>
  <c r="AB109" i="1" l="1"/>
  <c r="AC117" i="1" a="1"/>
  <c r="AC117" i="1" s="1"/>
  <c r="AI102" i="1" a="1"/>
  <c r="AI102" i="1" s="1"/>
  <c r="AJ22" i="1" s="1"/>
  <c r="AI96" i="1" a="1"/>
  <c r="AI96" i="1" s="1"/>
  <c r="AC112" i="1"/>
  <c r="AI91" i="1"/>
  <c r="AI92" i="1" s="1"/>
  <c r="AI90" i="1"/>
  <c r="AI88" i="1"/>
  <c r="AI87" i="1"/>
  <c r="AI86" i="1"/>
  <c r="AG19" i="1"/>
  <c r="AG16" i="1"/>
  <c r="AC115" i="1" s="1"/>
  <c r="AJ13" i="1"/>
  <c r="AH13" i="1"/>
  <c r="AG13" i="1"/>
  <c r="AG10" i="1"/>
  <c r="AF4" i="1"/>
  <c r="AE4" i="1"/>
  <c r="AD4" i="1"/>
  <c r="AC4" i="1"/>
  <c r="AB4"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AJ10" i="1" s="1"/>
  <c r="Z89" i="1"/>
  <c r="Y89" i="1"/>
  <c r="X89" i="1"/>
  <c r="W89" i="1"/>
  <c r="V89" i="1"/>
  <c r="U89" i="1"/>
  <c r="T89" i="1"/>
  <c r="S89" i="1"/>
  <c r="R89" i="1"/>
  <c r="Q89" i="1"/>
  <c r="P89" i="1"/>
  <c r="O89" i="1"/>
  <c r="N89" i="1"/>
  <c r="M89" i="1"/>
  <c r="L89" i="1"/>
  <c r="K89" i="1"/>
  <c r="J89" i="1"/>
  <c r="I89" i="1"/>
  <c r="H89" i="1"/>
  <c r="G89" i="1"/>
  <c r="F89" i="1"/>
  <c r="E89" i="1"/>
  <c r="D89" i="1"/>
  <c r="C89" i="1"/>
  <c r="B89" i="1"/>
  <c r="AA80" i="1"/>
  <c r="AI10" i="1" s="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AI4" i="1" s="1"/>
  <c r="Z29" i="1"/>
  <c r="Y29" i="1"/>
  <c r="X29" i="1"/>
  <c r="W29" i="1"/>
  <c r="V29" i="1"/>
  <c r="U29" i="1"/>
  <c r="T29" i="1"/>
  <c r="S29" i="1"/>
  <c r="R29" i="1"/>
  <c r="Q29" i="1"/>
  <c r="P29" i="1"/>
  <c r="O29" i="1"/>
  <c r="N29" i="1"/>
  <c r="M29" i="1"/>
  <c r="L29" i="1"/>
  <c r="K29" i="1"/>
  <c r="J29" i="1"/>
  <c r="I29" i="1"/>
  <c r="H29" i="1"/>
  <c r="G29" i="1"/>
  <c r="F29" i="1"/>
  <c r="E29" i="1"/>
  <c r="D29" i="1"/>
  <c r="C29" i="1"/>
  <c r="AA20" i="1"/>
  <c r="Z20" i="1"/>
  <c r="Y20" i="1"/>
  <c r="AH4" i="1" s="1"/>
  <c r="X20" i="1"/>
  <c r="W20" i="1"/>
  <c r="V20" i="1"/>
  <c r="U20" i="1"/>
  <c r="T20" i="1"/>
  <c r="S20" i="1"/>
  <c r="R20" i="1"/>
  <c r="Q20" i="1"/>
  <c r="P20" i="1"/>
  <c r="O20" i="1"/>
  <c r="N20" i="1"/>
  <c r="M20" i="1"/>
  <c r="L20" i="1"/>
  <c r="K20" i="1"/>
  <c r="J20" i="1"/>
  <c r="I20" i="1"/>
  <c r="H20" i="1"/>
  <c r="G20" i="1"/>
  <c r="F20" i="1"/>
  <c r="E20" i="1"/>
  <c r="D20" i="1"/>
  <c r="C20" i="1"/>
  <c r="AA13" i="1"/>
  <c r="AH10" i="1" s="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AG4" i="1" s="1"/>
  <c r="Z4" i="1"/>
  <c r="Y4" i="1"/>
  <c r="X4" i="1"/>
  <c r="W4" i="1"/>
  <c r="V4" i="1"/>
  <c r="U4" i="1"/>
  <c r="T4" i="1"/>
  <c r="S4" i="1"/>
  <c r="R4" i="1"/>
  <c r="Q4" i="1"/>
  <c r="P4" i="1"/>
  <c r="O4" i="1"/>
  <c r="N4" i="1"/>
  <c r="M4" i="1"/>
  <c r="L4" i="1"/>
  <c r="K4" i="1"/>
  <c r="J4" i="1"/>
  <c r="I4" i="1"/>
  <c r="H4" i="1"/>
  <c r="G4" i="1"/>
  <c r="F4" i="1"/>
  <c r="E4" i="1"/>
  <c r="D4" i="1"/>
  <c r="C4" i="1"/>
  <c r="D105" i="1" l="1"/>
  <c r="L105" i="1"/>
  <c r="T105" i="1"/>
  <c r="F105" i="1"/>
  <c r="H105" i="1"/>
  <c r="P105" i="1"/>
  <c r="X105" i="1"/>
  <c r="U105" i="1"/>
  <c r="W105" i="1"/>
  <c r="I105" i="1"/>
  <c r="Q105" i="1"/>
  <c r="Y105" i="1"/>
  <c r="M105" i="1"/>
  <c r="G105" i="1"/>
  <c r="B105" i="1"/>
  <c r="J105" i="1"/>
  <c r="R105" i="1"/>
  <c r="Z105" i="1"/>
  <c r="E105" i="1"/>
  <c r="N105" i="1"/>
  <c r="C105" i="1"/>
  <c r="K105" i="1"/>
  <c r="S105" i="1"/>
  <c r="AA105" i="1"/>
  <c r="AG106" i="1" s="1"/>
  <c r="V105" i="1"/>
  <c r="O105" i="1"/>
  <c r="AJ4" i="1"/>
  <c r="AI22" i="1"/>
  <c r="AI19" i="1"/>
  <c r="AH19" i="1"/>
  <c r="AI100" i="1"/>
  <c r="AC113" i="1" s="1"/>
  <c r="AI107" i="1"/>
  <c r="AJ16" i="1"/>
  <c r="AI16" i="1"/>
  <c r="AH16" i="1"/>
  <c r="AI89" i="1"/>
  <c r="AI93" i="1" s="1"/>
  <c r="AI104" i="1" l="1"/>
  <c r="AI103" i="1" s="1"/>
  <c r="AB105" i="1"/>
  <c r="AC105" i="1" s="1"/>
  <c r="AD105" i="1" s="1"/>
  <c r="AE105" i="1" s="1"/>
  <c r="AF105" i="1" s="1"/>
  <c r="AJ19" i="1"/>
  <c r="AC109" i="1"/>
  <c r="AI101" i="1"/>
  <c r="AD109" i="1" l="1"/>
  <c r="AE109" i="1" l="1"/>
  <c r="AI95" i="1" l="1"/>
  <c r="AI98" i="1" s="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<sst xmlns="http://schemas.openxmlformats.org/spreadsheetml/2006/main" count="782" uniqueCount="168">
  <si>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</si>
  <si>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</si>
  <si>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</si>
  <si>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</si>
  <si>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</si>
  <si>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</si>
  <si>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</si>
  <si>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</si>
  <si>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</si>
  <si>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</si>
  <si>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</si>
  <si>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</si>
  <si>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</si>
  <si>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</si>
  <si>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</si>
  <si>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</si>
  <si>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</si>
  <si>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</si>
  <si>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</si>
  <si>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</si>
  <si>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</si>
  <si>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</si>
  <si>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</si>
  <si>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</si>
  <si>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</si>
  <si>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</si>
  <si>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</si>
  <si>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</si>
  <si>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</si>
  <si>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</si>
  <si>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</si>
  <si>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</si>
  <si>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</si>
  <si>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</si>
  <si>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</si>
  <si>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</si>
  <si>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</si>
  <si>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</si>
  <si>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</si>
  <si>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</si>
  <si>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</si>
  <si>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</si>
  <si>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</si>
  <si>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</si>
  <si>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</si>
  <si>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</si>
  <si>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</si>
  <si>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</si>
  <si>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</si>
  <si>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</si>
  <si>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</si>
  <si>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</si>
  <si>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</si>
  <si>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</si>
  <si>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</si>
  <si>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</si>
  <si>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</si>
  <si>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</si>
  <si>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</si>
  <si>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</si>
  <si>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</si>
  <si>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</si>
  <si>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</si>
  <si>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</si>
  <si>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</si>
  <si>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</si>
  <si>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</si>
  <si>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</si>
  <si>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</si>
  <si>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</si>
  <si>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</si>
  <si>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</si>
  <si>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</si>
  <si>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</si>
  <si>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</si>
  <si>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</si>
  <si>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</si>
  <si>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</si>
  <si>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</si>
  <si>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</si>
  <si>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</si>
  <si>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</si>
  <si>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</si>
  <si>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</si>
  <si>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</si>
  <si>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</si>
  <si>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</si>
  <si>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</si>
  <si>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</si>
  <si>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</si>
  <si>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</si>
  <si>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</si>
  <si>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</si>
  <si>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</si>
  <si>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</si>
  <si>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</si>
  <si>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</si>
  <si>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</si>
  <si>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</si>
  <si>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</si>
  <si>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</si>
  <si>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</si>
  <si>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</si>
  <si>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</si>
  <si>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</si>
  <si>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</si>
  <si>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</si>
  <si>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</si>
  <si>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</si>
  <si>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</si>
  <si>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</si>
  <si>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</si>
  <si>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</si>
  <si>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</si>
  <si>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</si>
  <si>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</si>
  <si>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</si>
  <si>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</si>
  <si>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</si>
  <si>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</si>
  <si>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</si>
  <si>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</si>
  <si>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</si>
  <si>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</si>
  <si>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</si>
  <si>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</si>
  <si>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</si>
  <si>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</si>
  <si>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</si>
  <si>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</si>
  <si>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</si>
  <si>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</si>
  <si>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</si>
  <si>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</si>
  <si>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</si>
  <si>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</si>
  <si>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</si>
  <si>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</si>
  <si>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</si>
  <si>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</si>
  <si>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</si>
  <si>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</si>
  <si>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</si>
  <si>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</si>
  <si>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</si>
  <si>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</si>
  <si>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</si>
  <si>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</si>
  <si>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</si>
  <si>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</si>
  <si>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</si>
  <si>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</si>
  <si>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</si>
  <si>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</si>
  <si>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</si>
  <si>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</si>
  <si>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</si>
  <si>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</si>
  <si>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</si>
  <si>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</si>
  <si>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</si>
  <si>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</si>
  <si>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</si>
  <si>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</si>
  <si>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Proj</t>
  </si>
  <si>
    <t>Unlevered FCF Forecast</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</si>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</sst>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9" fontId="11" fillId="0" borderId="0" xfId="0" applyNumberFormat="1" applyFont="1"/>
    <xf numFmtId="164" fontId="1" fillId="8" borderId="0" xfId="0" applyNumberFormat="1" applyFont="1" applyFill="1"/>
    <xf numFmtId="9" fontId="1" fillId="8" borderId="0" xfId="0" applyNumberFormat="1" applyFont="1" applyFill="1"/>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 fillId="8" borderId="0" xfId="0" applyNumberFormat="1"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VeriSign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998347107437998E-2"/>
          <c:y val="0.14258367934805524"/>
          <c:w val="0.8461752066115702"/>
          <c:h val="0.641337890346087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pt idx="26">
                  <c:v>1495000000</c:v>
                </c:pt>
                <c:pt idx="27">
                  <c:v>1624000000</c:v>
                </c:pt>
                <c:pt idx="28">
                  <c:v>1727000000</c:v>
                </c:pt>
                <c:pt idx="29">
                  <c:v>1792000000</c:v>
                </c:pt>
                <c:pt idx="30">
                  <c:v>1889000000</c:v>
                </c:pt>
              </c:numCache>
            </c:numRef>
          </c:val>
          <c:extLst>
            <c:ext xmlns:c16="http://schemas.microsoft.com/office/drawing/2014/chart" uri="{C3380CC4-5D6E-409C-BE32-E72D297353CC}">
              <c16:uniqueId val="{00000000-C67D-464A-A35E-9B45E545128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-19200000</c:v>
                </c:pt>
                <c:pt idx="1">
                  <c:v>-19700000</c:v>
                </c:pt>
                <c:pt idx="2">
                  <c:v>3955000</c:v>
                </c:pt>
                <c:pt idx="3">
                  <c:v>-3115474000</c:v>
                </c:pt>
                <c:pt idx="4">
                  <c:v>-13355952000</c:v>
                </c:pt>
                <c:pt idx="5">
                  <c:v>-4961297000</c:v>
                </c:pt>
                <c:pt idx="6">
                  <c:v>-259879000</c:v>
                </c:pt>
                <c:pt idx="7">
                  <c:v>186225000</c:v>
                </c:pt>
                <c:pt idx="8">
                  <c:v>406461000</c:v>
                </c:pt>
                <c:pt idx="9">
                  <c:v>379015000</c:v>
                </c:pt>
                <c:pt idx="10">
                  <c:v>-139502000</c:v>
                </c:pt>
                <c:pt idx="11">
                  <c:v>-374692000</c:v>
                </c:pt>
                <c:pt idx="12">
                  <c:v>245553000</c:v>
                </c:pt>
                <c:pt idx="13">
                  <c:v>830967000</c:v>
                </c:pt>
                <c:pt idx="14">
                  <c:v>142891000</c:v>
                </c:pt>
                <c:pt idx="15">
                  <c:v>320032000</c:v>
                </c:pt>
                <c:pt idx="16">
                  <c:v>544450000</c:v>
                </c:pt>
                <c:pt idx="17">
                  <c:v>355260000</c:v>
                </c:pt>
                <c:pt idx="18">
                  <c:v>375236000</c:v>
                </c:pt>
                <c:pt idx="19">
                  <c:v>440645000</c:v>
                </c:pt>
                <c:pt idx="20">
                  <c:v>457248000</c:v>
                </c:pt>
                <c:pt idx="21">
                  <c:v>582489000</c:v>
                </c:pt>
                <c:pt idx="22">
                  <c:v>612299000</c:v>
                </c:pt>
                <c:pt idx="23">
                  <c:v>814888000</c:v>
                </c:pt>
                <c:pt idx="24">
                  <c:v>784830000</c:v>
                </c:pt>
                <c:pt idx="25">
                  <c:v>673800000</c:v>
                </c:pt>
                <c:pt idx="26">
                  <c:v>737000000</c:v>
                </c:pt>
                <c:pt idx="27">
                  <c:v>850000000</c:v>
                </c:pt>
                <c:pt idx="28">
                  <c:v>899000000</c:v>
                </c:pt>
                <c:pt idx="29">
                  <c:v>928000000</c:v>
                </c:pt>
                <c:pt idx="30">
                  <c:v>989000000</c:v>
                </c:pt>
              </c:numCache>
            </c:numRef>
          </c:val>
          <c:extLst>
            <c:ext xmlns:c16="http://schemas.microsoft.com/office/drawing/2014/chart" uri="{C3380CC4-5D6E-409C-BE32-E72D297353CC}">
              <c16:uniqueId val="{00000001-C67D-464A-A35E-9B45E545128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pt idx="26">
                  <c:v>882000000</c:v>
                </c:pt>
                <c:pt idx="27">
                  <c:v>1011000000</c:v>
                </c:pt>
                <c:pt idx="28">
                  <c:v>1046000000</c:v>
                </c:pt>
                <c:pt idx="29">
                  <c:v>1013000000</c:v>
                </c:pt>
                <c:pt idx="30">
                  <c:v>1100000000</c:v>
                </c:pt>
              </c:numCache>
            </c:numRef>
          </c:val>
          <c:extLst>
            <c:ext xmlns:c16="http://schemas.microsoft.com/office/drawing/2014/chart" uri="{C3380CC4-5D6E-409C-BE32-E72D297353CC}">
              <c16:uniqueId val="{00000002-C67D-464A-A35E-9B45E545128D}"/>
            </c:ext>
          </c:extLst>
        </c:ser>
        <c:dLbls>
          <c:showLegendKey val="0"/>
          <c:showVal val="0"/>
          <c:showCatName val="0"/>
          <c:showSerName val="0"/>
          <c:showPercent val="0"/>
          <c:showBubbleSize val="0"/>
        </c:dLbls>
        <c:gapWidth val="150"/>
        <c:overlap val="100"/>
        <c:axId val="2134741951"/>
        <c:axId val="2089579391"/>
      </c:barChart>
      <c:catAx>
        <c:axId val="2134741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089579391"/>
        <c:crosses val="autoZero"/>
        <c:auto val="1"/>
        <c:lblAlgn val="ctr"/>
        <c:lblOffset val="100"/>
        <c:noMultiLvlLbl val="0"/>
      </c:catAx>
      <c:valAx>
        <c:axId val="20895793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34741951"/>
        <c:crosses val="autoZero"/>
        <c:crossBetween val="between"/>
      </c:valAx>
      <c:spPr>
        <a:noFill/>
        <a:ln>
          <a:noFill/>
        </a:ln>
        <a:effectLst/>
      </c:spPr>
    </c:plotArea>
    <c:legend>
      <c:legendPos val="b"/>
      <c:layout>
        <c:manualLayout>
          <c:xMode val="edge"/>
          <c:yMode val="edge"/>
          <c:x val="0.34575440879807379"/>
          <c:y val="0.90644546205035659"/>
          <c:w val="0.31378033448298304"/>
          <c:h val="5.9009733746601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223838</xdr:rowOff>
    </xdr:from>
    <xdr:to>
      <xdr:col>34</xdr:col>
      <xdr:colOff>1603374</xdr:colOff>
      <xdr:row>128</xdr:row>
      <xdr:rowOff>15875</xdr:rowOff>
    </xdr:to>
    <xdr:graphicFrame macro="">
      <xdr:nvGraphicFramePr>
        <xdr:cNvPr id="3" name="Chart 2">
          <a:extLst>
            <a:ext uri="{FF2B5EF4-FFF2-40B4-BE49-F238E27FC236}">
              <a16:creationId xmlns:a16="http://schemas.microsoft.com/office/drawing/2014/main" id="{98C8ED60-6B58-A299-FBF3-CB2916180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Growth"/>
      <sheetName val="ROIC"/>
      <sheetName val="Watchlist"/>
      <sheetName val="US Treasury Bonds"/>
      <sheetName val="Wide Moats"/>
      <sheetName val="Sheet2"/>
      <sheetName val="GARP HF Buys"/>
      <sheetName val="Value HF Buys"/>
      <sheetName val="Aggressive Growth HF Buys"/>
      <sheetName val="Other HF Buys"/>
      <sheetName val="Treasuries"/>
      <sheetName val="Hardware"/>
      <sheetName val="Software"/>
      <sheetName val="Consumer"/>
      <sheetName val="Financial Services"/>
      <sheetName val="Real Estate"/>
      <sheetName val="Fashion + Beauty"/>
      <sheetName val="My Stocks"/>
      <sheetName val="Top 12"/>
      <sheetName val="Still Researching"/>
      <sheetName val="Profitable Software"/>
      <sheetName val="GARP"/>
      <sheetName val="Value"/>
      <sheetName val="Aggressive Growth"/>
      <sheetName val="Other"/>
      <sheetName val="Short List"/>
    </sheetNames>
    <sheetDataSet>
      <sheetData sheetId="0"/>
      <sheetData sheetId="1"/>
      <sheetData sheetId="2"/>
      <sheetData sheetId="3"/>
      <sheetData sheetId="4"/>
      <sheetData sheetId="5"/>
      <sheetData sheetId="6"/>
      <sheetData sheetId="7"/>
      <sheetData sheetId="8"/>
      <sheetData sheetId="9">
        <row r="8">
          <cell r="C8">
            <v>4.7820000000000001E-2</v>
          </cell>
        </row>
      </sheetData>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169.24</v>
    <v>0.93659999999999999</v>
    <v>0.52</v>
    <v>2.503E-3</v>
    <v>-0.83</v>
    <v>-3.9849999999999998E-3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208.785</v>
    <v>Software &amp; IT Services</v>
    <v>Stock</v>
    <v>45209.94975498828</v>
    <v>0</v>
    <v>206.83</v>
    <v>21428100000</v>
    <v>VERISIGN, INC.</v>
    <v>VERISIGN, INC.</v>
    <v>207.45</v>
    <v>30.712</v>
    <v>207.77</v>
    <v>208.29</v>
    <v>207.46</v>
    <v>103133800</v>
    <v>VRSN</v>
    <v>VERISIGN, INC. (XNAS:VRSN)</v>
    <v>374913</v>
    <v>490644</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hyperlink" Target="https://finbox.com/NASDAQGS:VRSN/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56" Type="http://schemas.openxmlformats.org/officeDocument/2006/relationships/drawing" Target="../drawings/drawing1.xm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zoomScale="80" zoomScaleNormal="80" workbookViewId="0">
      <pane xSplit="1" ySplit="1" topLeftCell="X2" activePane="bottomRight" state="frozen"/>
      <selection pane="topRight"/>
      <selection pane="bottomLeft"/>
      <selection pane="bottomRight" activeCell="AD13" sqref="AD1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4">
        <v>1495000000</v>
      </c>
      <c r="AC3" s="24">
        <v>1624000000</v>
      </c>
      <c r="AD3" s="24">
        <v>1727000000</v>
      </c>
      <c r="AE3" s="24">
        <v>1792000000</v>
      </c>
      <c r="AF3" s="24">
        <v>1889000000</v>
      </c>
      <c r="AG3" s="18" t="s">
        <v>108</v>
      </c>
      <c r="AH3" s="19" t="s">
        <v>109</v>
      </c>
      <c r="AI3" s="19" t="s">
        <v>110</v>
      </c>
      <c r="AJ3" s="19" t="s">
        <v>111</v>
      </c>
    </row>
    <row r="4" spans="1:36" ht="19" x14ac:dyDescent="0.25">
      <c r="A4" s="14" t="s">
        <v>93</v>
      </c>
      <c r="B4" s="1"/>
      <c r="C4" s="63">
        <f>(C3/B3)-1</f>
        <v>3.1382978723404253</v>
      </c>
      <c r="D4" s="63">
        <f>(D3/C3)-1</f>
        <v>1.1793316195372752</v>
      </c>
      <c r="E4" s="63">
        <f>(E3/D3)-1</f>
        <v>4.6002406341417386</v>
      </c>
      <c r="F4" s="63">
        <f t="shared" ref="F4:AF4" si="0">(F3/E3)-1</f>
        <v>1.0716816284232653</v>
      </c>
      <c r="G4" s="63">
        <f t="shared" si="0"/>
        <v>0.24208287411902019</v>
      </c>
      <c r="H4" s="63">
        <f t="shared" si="0"/>
        <v>-0.13660667218917089</v>
      </c>
      <c r="I4" s="63">
        <f t="shared" si="0"/>
        <v>0.10587515880088749</v>
      </c>
      <c r="J4" s="63">
        <f t="shared" si="0"/>
        <v>0.37981662387318837</v>
      </c>
      <c r="K4" s="63">
        <f t="shared" si="0"/>
        <v>-2.1276873352743197E-2</v>
      </c>
      <c r="L4" s="63">
        <f t="shared" si="0"/>
        <v>-5.0125408744903233E-2</v>
      </c>
      <c r="M4" s="63">
        <f t="shared" si="0"/>
        <v>-0.35725317769495069</v>
      </c>
      <c r="N4" s="63">
        <f t="shared" si="0"/>
        <v>7.1624719907251055E-2</v>
      </c>
      <c r="O4" s="63">
        <f t="shared" si="0"/>
        <v>-0.3396415164090707</v>
      </c>
      <c r="P4" s="63">
        <f t="shared" si="0"/>
        <v>0.13429761173590693</v>
      </c>
      <c r="Q4" s="63">
        <f t="shared" si="0"/>
        <v>0.1316281033915474</v>
      </c>
      <c r="R4" s="63">
        <f t="shared" si="0"/>
        <v>0.10473424665061026</v>
      </c>
      <c r="S4" s="63">
        <f t="shared" si="0"/>
        <v>4.6659005872009551E-2</v>
      </c>
      <c r="T4" s="63">
        <f t="shared" si="0"/>
        <v>4.8755738196664344E-2</v>
      </c>
      <c r="U4" s="63">
        <f t="shared" si="0"/>
        <v>7.8160900010006085E-2</v>
      </c>
      <c r="V4" s="63">
        <f t="shared" si="0"/>
        <v>2.007412226058003E-2</v>
      </c>
      <c r="W4" s="63">
        <f t="shared" si="0"/>
        <v>4.2806809745128183E-2</v>
      </c>
      <c r="X4" s="63">
        <f t="shared" si="0"/>
        <v>1.3738622137684064E-2</v>
      </c>
      <c r="Y4" s="63">
        <f t="shared" si="0"/>
        <v>2.7110544216306209E-2</v>
      </c>
      <c r="Z4" s="63">
        <f t="shared" si="0"/>
        <v>4.9424055295750779E-2</v>
      </c>
      <c r="AA4" s="63">
        <f t="shared" si="0"/>
        <v>7.3309550639662158E-2</v>
      </c>
      <c r="AB4" s="16">
        <f t="shared" si="0"/>
        <v>4.9196434837532443E-2</v>
      </c>
      <c r="AC4" s="16">
        <f t="shared" si="0"/>
        <v>8.6287625418060232E-2</v>
      </c>
      <c r="AD4" s="16">
        <f t="shared" si="0"/>
        <v>6.3423645320197064E-2</v>
      </c>
      <c r="AE4" s="16">
        <f t="shared" si="0"/>
        <v>3.7637521713954847E-2</v>
      </c>
      <c r="AF4" s="16">
        <f t="shared" si="0"/>
        <v>5.4129464285714191E-2</v>
      </c>
      <c r="AG4" s="17">
        <f>(AA4+Z4+Y4)/3</f>
        <v>4.9948050050573047E-2</v>
      </c>
      <c r="AH4" s="17">
        <f>(AA20+Z20+Y20)/3</f>
        <v>4.3346298906731251E-2</v>
      </c>
      <c r="AI4" s="17">
        <f>(AA29+Z29+Y29)/3</f>
        <v>5.0836650414215291E-2</v>
      </c>
      <c r="AJ4" s="17">
        <f>(AA106+Z106+Y106)/3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B6" s="34">
        <f>AB3*AB7</f>
        <v>1292876000</v>
      </c>
      <c r="AG6" s="68" t="s">
        <v>112</v>
      </c>
      <c r="AH6" s="69" t="s">
        <v>113</v>
      </c>
      <c r="AI6" s="69" t="s">
        <v>114</v>
      </c>
      <c r="AJ6" s="69" t="s">
        <v>115</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B7" s="2">
        <v>0.86480000000000001</v>
      </c>
      <c r="AG7" s="17">
        <f>AB7</f>
        <v>0.86480000000000001</v>
      </c>
      <c r="AH7" s="20">
        <f>AB21</f>
        <v>0.73177257525083617</v>
      </c>
      <c r="AI7" s="20">
        <f>AB30</f>
        <v>0.49297658862876254</v>
      </c>
      <c r="AJ7" s="20">
        <f>AB107/AB3</f>
        <v>0.58996655518394647</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94</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95</v>
      </c>
      <c r="AH9" s="19" t="s">
        <v>96</v>
      </c>
      <c r="AI9" s="19" t="s">
        <v>97</v>
      </c>
      <c r="AJ9" s="19" t="s">
        <v>98</v>
      </c>
    </row>
    <row r="10" spans="1:36" ht="19" x14ac:dyDescent="0.25">
      <c r="A10" s="5" t="s">
        <v>6</v>
      </c>
      <c r="B10" s="1" t="s">
        <v>91</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91</v>
      </c>
      <c r="AG10" s="17">
        <f>AA9</f>
        <v>6.0144571548880622E-2</v>
      </c>
      <c r="AH10" s="20">
        <f>AA13</f>
        <v>0.13713243034598918</v>
      </c>
      <c r="AI10" s="20">
        <f>AA80</f>
        <v>4.1125693031089899E-2</v>
      </c>
      <c r="AJ10" s="20">
        <f>AA89</f>
        <v>1.9229419608393573E-2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91</v>
      </c>
    </row>
    <row r="12" spans="1:36" ht="20" x14ac:dyDescent="0.25">
      <c r="A12" s="5" t="s">
        <v>8</v>
      </c>
      <c r="B12" s="1" t="s">
        <v>91</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116</v>
      </c>
      <c r="AH12" s="19" t="s">
        <v>117</v>
      </c>
      <c r="AI12" s="19" t="s">
        <v>118</v>
      </c>
      <c r="AJ12" s="19" t="s">
        <v>119</v>
      </c>
    </row>
    <row r="13" spans="1:36" ht="19" x14ac:dyDescent="0.25">
      <c r="A13" s="14" t="s">
        <v>99</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AA22/(AA73+AA56+AA61)</f>
        <v>0.26770558346816542</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91</v>
      </c>
      <c r="P14" s="1" t="s">
        <v>91</v>
      </c>
      <c r="Q14" s="1" t="s">
        <v>91</v>
      </c>
      <c r="R14" s="1" t="s">
        <v>91</v>
      </c>
      <c r="S14" s="1" t="s">
        <v>91</v>
      </c>
      <c r="T14" s="1" t="s">
        <v>91</v>
      </c>
      <c r="U14" s="1" t="s">
        <v>91</v>
      </c>
      <c r="V14" s="1" t="s">
        <v>91</v>
      </c>
      <c r="W14" s="1" t="s">
        <v>91</v>
      </c>
      <c r="X14" s="1" t="s">
        <v>91</v>
      </c>
      <c r="Y14" s="1">
        <v>36790000</v>
      </c>
      <c r="Z14" s="1" t="s">
        <v>91</v>
      </c>
      <c r="AA14" s="1" t="s">
        <v>91</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120</v>
      </c>
      <c r="AH15" s="19" t="s">
        <v>121</v>
      </c>
      <c r="AI15" s="19" t="s">
        <v>122</v>
      </c>
      <c r="AJ15" s="19" t="s">
        <v>123</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5">
        <f>(AA35+Z35+Y35+X35+W35)/5</f>
        <v>-2.7498803063314627E-2</v>
      </c>
      <c r="AH16" s="30">
        <f>AI102/AA3</f>
        <v>15.038318478489719</v>
      </c>
      <c r="AI16" s="30">
        <f>AI102/AA28</f>
        <v>31.80186999109528</v>
      </c>
      <c r="AJ16" s="31">
        <f>AI102/AA107</f>
        <v>26.661814109742441</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6"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124</v>
      </c>
      <c r="AH18" s="19" t="s">
        <v>158</v>
      </c>
      <c r="AI18" s="19" t="s">
        <v>159</v>
      </c>
      <c r="AJ18" s="19" t="s">
        <v>160</v>
      </c>
    </row>
    <row r="19" spans="1:36"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B19" s="34">
        <v>1094000000</v>
      </c>
      <c r="AC19" s="34">
        <v>1190000000</v>
      </c>
      <c r="AD19" s="34">
        <v>1267000000</v>
      </c>
      <c r="AE19" s="34">
        <v>1266000000</v>
      </c>
      <c r="AF19" s="34">
        <v>1347000000</v>
      </c>
      <c r="AG19" s="26">
        <f>AA40-AA56-AA61</f>
        <v>-809100000</v>
      </c>
      <c r="AH19" s="30">
        <f>AI102/AB3</f>
        <v>14.333177257525083</v>
      </c>
      <c r="AI19" s="30">
        <f>AI102/AB28</f>
        <v>29.074762550881953</v>
      </c>
      <c r="AJ19" s="31">
        <f>AI102/AB105</f>
        <v>25.404012521929037</v>
      </c>
    </row>
    <row r="20" spans="1:36" ht="19" customHeight="1" x14ac:dyDescent="0.25">
      <c r="A20" s="14" t="s">
        <v>100</v>
      </c>
      <c r="B20" s="1"/>
      <c r="C20" s="15">
        <f>(C19/B19)-1</f>
        <v>-4.8192771084337394E-2</v>
      </c>
      <c r="D20" s="15">
        <f>(D19/C19)-1</f>
        <v>-1.5923417721518986</v>
      </c>
      <c r="E20" s="15">
        <f>(E19/D19)-1</f>
        <v>10.01111229832247</v>
      </c>
      <c r="F20" s="15">
        <f t="shared" ref="F20:AF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c r="AB20" s="16">
        <f t="shared" si="3"/>
        <v>9.1380686352753315E-2</v>
      </c>
      <c r="AC20" s="16">
        <f t="shared" si="3"/>
        <v>8.7751371115173615E-2</v>
      </c>
      <c r="AD20" s="16">
        <f t="shared" si="3"/>
        <v>6.4705882352941169E-2</v>
      </c>
      <c r="AE20" s="16">
        <f t="shared" si="3"/>
        <v>-7.8926598263617809E-4</v>
      </c>
      <c r="AF20" s="16">
        <f t="shared" si="3"/>
        <v>6.3981042654028375E-2</v>
      </c>
    </row>
    <row r="21" spans="1:36" ht="20"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c r="AB21" s="35">
        <f>AB19/AB3</f>
        <v>0.73177257525083617</v>
      </c>
      <c r="AC21" s="35">
        <f t="shared" ref="AC21:AF21" si="4">AC19/AC3</f>
        <v>0.73275862068965514</v>
      </c>
      <c r="AD21" s="35">
        <f t="shared" si="4"/>
        <v>0.73364215402431965</v>
      </c>
      <c r="AE21" s="35">
        <f t="shared" si="4"/>
        <v>0.7064732142857143</v>
      </c>
      <c r="AF21" s="35">
        <f t="shared" si="4"/>
        <v>0.71307570142932764</v>
      </c>
      <c r="AH21" s="67" t="s">
        <v>167</v>
      </c>
      <c r="AI21" s="18" t="s">
        <v>161</v>
      </c>
      <c r="AJ21" s="19" t="s">
        <v>166</v>
      </c>
    </row>
    <row r="22" spans="1:36"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c r="AH22" s="17">
        <f>SUM(AB29:AF29)/5</f>
        <v>8.0551709672079364E-2</v>
      </c>
      <c r="AI22" s="32">
        <f>(-1*AA98)/AI102</f>
        <v>0</v>
      </c>
      <c r="AJ22" s="33">
        <f>AB107/AI102</f>
        <v>4.1160905539921876E-2</v>
      </c>
    </row>
    <row r="23" spans="1:36"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6"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6" ht="19" x14ac:dyDescent="0.25">
      <c r="A25" s="6" t="s">
        <v>19</v>
      </c>
      <c r="B25" s="10" t="s">
        <v>91</v>
      </c>
      <c r="C25" s="10" t="s">
        <v>91</v>
      </c>
      <c r="D25" s="10" t="s">
        <v>91</v>
      </c>
      <c r="E25" s="10" t="s">
        <v>91</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6" ht="19" x14ac:dyDescent="0.25">
      <c r="A26" s="5" t="s">
        <v>20</v>
      </c>
      <c r="B26" s="2" t="s">
        <v>91</v>
      </c>
      <c r="C26" s="2" t="s">
        <v>91</v>
      </c>
      <c r="D26" s="2" t="s">
        <v>91</v>
      </c>
      <c r="E26" s="2" t="s">
        <v>91</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6" ht="19" x14ac:dyDescent="0.25">
      <c r="A27" s="5" t="s">
        <v>21</v>
      </c>
      <c r="B27" s="1" t="s">
        <v>91</v>
      </c>
      <c r="C27" s="1" t="s">
        <v>91</v>
      </c>
      <c r="D27" s="1" t="s">
        <v>91</v>
      </c>
      <c r="E27" s="1" t="s">
        <v>91</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6"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c r="AB28" s="36">
        <v>737000000</v>
      </c>
      <c r="AC28" s="36">
        <v>850000000</v>
      </c>
      <c r="AD28" s="36">
        <v>899000000</v>
      </c>
      <c r="AE28" s="36">
        <v>928000000</v>
      </c>
      <c r="AF28" s="36">
        <v>989000000</v>
      </c>
    </row>
    <row r="29" spans="1:36" ht="20" customHeight="1" thickTop="1" x14ac:dyDescent="0.25">
      <c r="A29" s="14" t="s">
        <v>101</v>
      </c>
      <c r="B29" s="1"/>
      <c r="C29" s="15">
        <f>(C28/B28)-1</f>
        <v>2.6041666666666741E-2</v>
      </c>
      <c r="D29" s="15">
        <f>(D28/C28)-1</f>
        <v>-1.200761421319797</v>
      </c>
      <c r="E29" s="15">
        <f>(E28/D28)-1</f>
        <v>-788.73046776232616</v>
      </c>
      <c r="F29" s="15">
        <f t="shared" ref="F29:AF29" si="5">(F28/E28)-1</f>
        <v>3.2869727046349926</v>
      </c>
      <c r="G29" s="15">
        <f t="shared" si="5"/>
        <v>-0.6285328818192818</v>
      </c>
      <c r="H29" s="15">
        <f t="shared" si="5"/>
        <v>-0.9476187376002686</v>
      </c>
      <c r="I29" s="15">
        <f t="shared" si="5"/>
        <v>-1.7165834869304561</v>
      </c>
      <c r="J29" s="15">
        <f t="shared" si="5"/>
        <v>1.1826339105920258</v>
      </c>
      <c r="K29" s="15">
        <f t="shared" si="5"/>
        <v>-6.7524313525774926E-2</v>
      </c>
      <c r="L29" s="15">
        <f t="shared" si="5"/>
        <v>-1.3680645884727518</v>
      </c>
      <c r="M29" s="15">
        <f t="shared" si="5"/>
        <v>1.6859256498114723</v>
      </c>
      <c r="N29" s="15">
        <f t="shared" si="5"/>
        <v>-1.6553462577263458</v>
      </c>
      <c r="O29" s="15">
        <f t="shared" si="5"/>
        <v>2.3840637255500847</v>
      </c>
      <c r="P29" s="15">
        <f t="shared" si="5"/>
        <v>-0.82804250951000458</v>
      </c>
      <c r="Q29" s="15">
        <f t="shared" si="5"/>
        <v>1.239693192713327</v>
      </c>
      <c r="R29" s="15">
        <f t="shared" si="5"/>
        <v>0.70123612638736121</v>
      </c>
      <c r="S29" s="15">
        <f t="shared" si="5"/>
        <v>-0.3474882909358068</v>
      </c>
      <c r="T29" s="15">
        <f t="shared" si="5"/>
        <v>5.6229240556212368E-2</v>
      </c>
      <c r="U29" s="15">
        <f t="shared" si="5"/>
        <v>0.174314298201665</v>
      </c>
      <c r="V29" s="15">
        <f t="shared" si="5"/>
        <v>3.7678857129889165E-2</v>
      </c>
      <c r="W29" s="15">
        <f t="shared" si="5"/>
        <v>0.2739016901112743</v>
      </c>
      <c r="X29" s="15">
        <f t="shared" si="5"/>
        <v>5.1176932096571814E-2</v>
      </c>
      <c r="Y29" s="15">
        <f t="shared" si="5"/>
        <v>0.33086612912972257</v>
      </c>
      <c r="Z29" s="15">
        <f t="shared" si="5"/>
        <v>-3.6886050598364473E-2</v>
      </c>
      <c r="AA29" s="15">
        <f t="shared" si="5"/>
        <v>-0.14147012728871222</v>
      </c>
      <c r="AB29" s="16">
        <f t="shared" si="5"/>
        <v>9.3796378747402764E-2</v>
      </c>
      <c r="AC29" s="16">
        <f t="shared" si="5"/>
        <v>0.15332428765264594</v>
      </c>
      <c r="AD29" s="16">
        <f t="shared" si="5"/>
        <v>5.7647058823529385E-2</v>
      </c>
      <c r="AE29" s="16">
        <f t="shared" si="5"/>
        <v>3.2258064516129004E-2</v>
      </c>
      <c r="AF29" s="16">
        <f t="shared" si="5"/>
        <v>6.5732758620689724E-2</v>
      </c>
    </row>
    <row r="30" spans="1:36"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c r="AB30" s="37">
        <f>AB28/AB3</f>
        <v>0.49297658862876254</v>
      </c>
      <c r="AC30" s="37">
        <f t="shared" ref="AC30:AF30" si="6">AC28/AC3</f>
        <v>0.52339901477832518</v>
      </c>
      <c r="AD30" s="37">
        <f t="shared" si="6"/>
        <v>0.52055587724377528</v>
      </c>
      <c r="AE30" s="37">
        <f t="shared" si="6"/>
        <v>0.5178571428571429</v>
      </c>
      <c r="AF30" s="37">
        <f t="shared" si="6"/>
        <v>0.52355743779777664</v>
      </c>
    </row>
    <row r="31" spans="1:36"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c r="AB31" s="38">
        <v>7.15</v>
      </c>
      <c r="AC31" s="38">
        <v>8.24</v>
      </c>
      <c r="AD31" s="38">
        <v>8.7200000000000006</v>
      </c>
      <c r="AE31" s="38">
        <v>9</v>
      </c>
      <c r="AF31" s="38">
        <v>9.59</v>
      </c>
    </row>
    <row r="32" spans="1:36"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102</v>
      </c>
      <c r="B35" s="1"/>
      <c r="C35" s="22">
        <f>(C34-B34)/B34</f>
        <v>6.2671744684953956E-3</v>
      </c>
      <c r="D35" s="22">
        <f t="shared" ref="D35:AA35" si="7">(D34-C34)/C34</f>
        <v>0.37270636707708521</v>
      </c>
      <c r="E35" s="22">
        <f t="shared" si="7"/>
        <v>0.38878806386877235</v>
      </c>
      <c r="F35" s="22">
        <f t="shared" si="7"/>
        <v>0.27837707091204944</v>
      </c>
      <c r="G35" s="22">
        <f t="shared" si="7"/>
        <v>0.16254337078209929</v>
      </c>
      <c r="H35" s="22">
        <f t="shared" si="7"/>
        <v>1.3646048226182827E-2</v>
      </c>
      <c r="I35" s="22">
        <f t="shared" si="7"/>
        <v>7.5952956877137379E-2</v>
      </c>
      <c r="J35" s="22">
        <f t="shared" si="7"/>
        <v>2.5275977549691464E-2</v>
      </c>
      <c r="K35" s="22">
        <f t="shared" si="7"/>
        <v>-6.5932487250154062E-2</v>
      </c>
      <c r="L35" s="22">
        <f t="shared" si="7"/>
        <v>-3.7907824812909545E-2</v>
      </c>
      <c r="M35" s="22">
        <f t="shared" si="7"/>
        <v>-0.15609552937019103</v>
      </c>
      <c r="N35" s="22">
        <f t="shared" si="7"/>
        <v>-4.0014556185880498E-2</v>
      </c>
      <c r="O35" s="22">
        <f t="shared" si="7"/>
        <v>-7.0673763468778392E-2</v>
      </c>
      <c r="P35" s="22">
        <f t="shared" si="7"/>
        <v>-6.7488056323862206E-2</v>
      </c>
      <c r="Q35" s="22">
        <f t="shared" si="7"/>
        <v>-1.7844409690389307E-2</v>
      </c>
      <c r="R35" s="22">
        <f t="shared" si="7"/>
        <v>-4.9557986443697417E-2</v>
      </c>
      <c r="S35" s="22">
        <f t="shared" si="7"/>
        <v>-9.5586252936720892E-2</v>
      </c>
      <c r="T35" s="22">
        <f t="shared" si="7"/>
        <v>-5.5814613719436461E-2</v>
      </c>
      <c r="U35" s="22">
        <f t="shared" si="7"/>
        <v>-3.1556554487299951E-2</v>
      </c>
      <c r="V35" s="22">
        <f t="shared" si="7"/>
        <v>-3.6116522940550948E-2</v>
      </c>
      <c r="W35" s="22">
        <f t="shared" si="7"/>
        <v>-1.2232243517474633E-2</v>
      </c>
      <c r="X35" s="22">
        <f t="shared" si="7"/>
        <v>-3.0107369090419937E-2</v>
      </c>
      <c r="Y35" s="22">
        <f t="shared" si="7"/>
        <v>-3.0848631564790532E-2</v>
      </c>
      <c r="Z35" s="22">
        <f t="shared" si="7"/>
        <v>-2.716439140314663E-2</v>
      </c>
      <c r="AA35" s="22">
        <f t="shared" si="7"/>
        <v>-3.7141379740741401E-2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91</v>
      </c>
      <c r="C39" s="1" t="s">
        <v>91</v>
      </c>
      <c r="D39" s="1">
        <v>86098000</v>
      </c>
      <c r="E39" s="1">
        <v>565913000</v>
      </c>
      <c r="F39" s="1">
        <v>420643000</v>
      </c>
      <c r="G39" s="1">
        <v>121616000</v>
      </c>
      <c r="H39" s="1">
        <v>329899000</v>
      </c>
      <c r="I39" s="1">
        <v>406784000</v>
      </c>
      <c r="J39" s="1">
        <v>378006000</v>
      </c>
      <c r="K39" s="1">
        <v>198656000</v>
      </c>
      <c r="L39" s="1" t="s">
        <v>91</v>
      </c>
      <c r="M39" s="1" t="s">
        <v>91</v>
      </c>
      <c r="N39" s="1" t="s">
        <v>91</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91</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91</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91</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91</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91</v>
      </c>
      <c r="C46" s="1" t="s">
        <v>91</v>
      </c>
      <c r="D46" s="1" t="s">
        <v>91</v>
      </c>
      <c r="E46" s="1" t="s">
        <v>91</v>
      </c>
      <c r="F46" s="1">
        <v>5691169000</v>
      </c>
      <c r="G46" s="1">
        <v>1129602000</v>
      </c>
      <c r="H46" s="1" t="s">
        <v>91</v>
      </c>
      <c r="I46" s="1" t="s">
        <v>91</v>
      </c>
      <c r="J46" s="1" t="s">
        <v>91</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91</v>
      </c>
      <c r="C47" s="1" t="s">
        <v>91</v>
      </c>
      <c r="D47" s="1" t="s">
        <v>91</v>
      </c>
      <c r="E47" s="1">
        <v>17656641000</v>
      </c>
      <c r="F47" s="1" t="s">
        <v>91</v>
      </c>
      <c r="G47" s="1" t="s">
        <v>91</v>
      </c>
      <c r="H47" s="1">
        <v>618036000</v>
      </c>
      <c r="I47" s="1">
        <v>969265000</v>
      </c>
      <c r="J47" s="1">
        <v>1297212000</v>
      </c>
      <c r="K47" s="1">
        <v>333430000</v>
      </c>
      <c r="L47" s="1">
        <v>121792000</v>
      </c>
      <c r="M47" s="1">
        <v>35312000</v>
      </c>
      <c r="N47" s="1">
        <v>22420000</v>
      </c>
      <c r="O47" s="1">
        <v>2619000</v>
      </c>
      <c r="P47" s="1">
        <v>1321000</v>
      </c>
      <c r="Q47" s="1" t="s">
        <v>91</v>
      </c>
      <c r="R47" s="1" t="s">
        <v>91</v>
      </c>
      <c r="S47" s="1" t="s">
        <v>91</v>
      </c>
      <c r="T47" s="1" t="s">
        <v>91</v>
      </c>
      <c r="U47" s="1" t="s">
        <v>91</v>
      </c>
      <c r="V47" s="1" t="s">
        <v>91</v>
      </c>
      <c r="W47" s="1" t="s">
        <v>91</v>
      </c>
      <c r="X47" s="1" t="s">
        <v>91</v>
      </c>
      <c r="Y47" s="1">
        <v>145000000</v>
      </c>
      <c r="Z47" s="1">
        <v>145000000</v>
      </c>
      <c r="AA47" s="1">
        <v>145000000</v>
      </c>
    </row>
    <row r="48" spans="1:27" ht="19" x14ac:dyDescent="0.25">
      <c r="A48" s="5" t="s">
        <v>40</v>
      </c>
      <c r="B48" s="1" t="s">
        <v>91</v>
      </c>
      <c r="C48" s="1" t="s">
        <v>91</v>
      </c>
      <c r="D48" s="1" t="s">
        <v>91</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7146000</v>
      </c>
      <c r="O49" s="1" t="s">
        <v>91</v>
      </c>
      <c r="P49" s="1" t="s">
        <v>91</v>
      </c>
      <c r="Q49" s="1">
        <v>413000</v>
      </c>
      <c r="R49" s="1" t="s">
        <v>91</v>
      </c>
      <c r="S49" s="1" t="s">
        <v>91</v>
      </c>
      <c r="T49" s="1" t="s">
        <v>91</v>
      </c>
      <c r="U49" s="1" t="s">
        <v>91</v>
      </c>
      <c r="V49" s="1" t="s">
        <v>91</v>
      </c>
      <c r="W49" s="1" t="s">
        <v>91</v>
      </c>
      <c r="X49" s="1" t="s">
        <v>91</v>
      </c>
      <c r="Y49" s="1" t="s">
        <v>91</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v>179023000</v>
      </c>
      <c r="L50" s="1">
        <v>230695000</v>
      </c>
      <c r="M50" s="1" t="s">
        <v>91</v>
      </c>
      <c r="N50" s="1">
        <v>12695000</v>
      </c>
      <c r="O50" s="1" t="s">
        <v>91</v>
      </c>
      <c r="P50" s="1" t="s">
        <v>91</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91</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91</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t="s">
        <v>91</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91</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91</v>
      </c>
      <c r="C56" s="1" t="s">
        <v>91</v>
      </c>
      <c r="D56" s="1" t="s">
        <v>91</v>
      </c>
      <c r="E56" s="1" t="s">
        <v>91</v>
      </c>
      <c r="F56" s="1" t="s">
        <v>91</v>
      </c>
      <c r="G56" s="1" t="s">
        <v>91</v>
      </c>
      <c r="H56" s="1" t="s">
        <v>91</v>
      </c>
      <c r="I56" s="1" t="s">
        <v>91</v>
      </c>
      <c r="J56" s="1" t="s">
        <v>91</v>
      </c>
      <c r="K56" s="1">
        <v>199000000</v>
      </c>
      <c r="L56" s="1" t="s">
        <v>91</v>
      </c>
      <c r="M56" s="1" t="s">
        <v>91</v>
      </c>
      <c r="N56" s="1" t="s">
        <v>91</v>
      </c>
      <c r="O56" s="1" t="s">
        <v>91</v>
      </c>
      <c r="P56" s="1" t="s">
        <v>91</v>
      </c>
      <c r="Q56" s="1" t="s">
        <v>91</v>
      </c>
      <c r="R56" s="1">
        <v>624056000</v>
      </c>
      <c r="S56" s="1">
        <v>631190000</v>
      </c>
      <c r="T56" s="1">
        <v>634326000</v>
      </c>
      <c r="U56" s="1">
        <v>629764000</v>
      </c>
      <c r="V56" s="1">
        <v>627616000</v>
      </c>
      <c r="W56" s="1" t="s">
        <v>91</v>
      </c>
      <c r="X56" s="1" t="s">
        <v>91</v>
      </c>
      <c r="Y56" s="1" t="s">
        <v>91</v>
      </c>
      <c r="Z56" s="1" t="s">
        <v>91</v>
      </c>
      <c r="AA56" s="1">
        <v>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91</v>
      </c>
      <c r="C58" s="1" t="s">
        <v>91</v>
      </c>
      <c r="D58" s="1" t="s">
        <v>91</v>
      </c>
      <c r="E58" s="1" t="s">
        <v>91</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91</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91</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91</v>
      </c>
      <c r="C61" s="1" t="s">
        <v>91</v>
      </c>
      <c r="D61" s="1" t="s">
        <v>91</v>
      </c>
      <c r="E61" s="1" t="s">
        <v>91</v>
      </c>
      <c r="F61" s="1" t="s">
        <v>91</v>
      </c>
      <c r="G61" s="1" t="s">
        <v>91</v>
      </c>
      <c r="H61" s="1" t="s">
        <v>91</v>
      </c>
      <c r="I61" s="1" t="s">
        <v>91</v>
      </c>
      <c r="J61" s="1">
        <v>138051000</v>
      </c>
      <c r="K61" s="1" t="s">
        <v>91</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91</v>
      </c>
      <c r="C63" s="1" t="s">
        <v>91</v>
      </c>
      <c r="D63" s="1" t="s">
        <v>91</v>
      </c>
      <c r="E63" s="1" t="s">
        <v>91</v>
      </c>
      <c r="F63" s="1">
        <v>26553000</v>
      </c>
      <c r="G63" s="1">
        <v>125893000</v>
      </c>
      <c r="H63" s="1" t="s">
        <v>91</v>
      </c>
      <c r="I63" s="1">
        <v>31319000</v>
      </c>
      <c r="J63" s="1">
        <v>18560000</v>
      </c>
      <c r="K63" s="1">
        <v>24849000</v>
      </c>
      <c r="L63" s="1">
        <v>2985000</v>
      </c>
      <c r="M63" s="1">
        <v>16378000</v>
      </c>
      <c r="N63" s="1">
        <v>144777000</v>
      </c>
      <c r="O63" s="1">
        <v>309696000</v>
      </c>
      <c r="P63" s="1">
        <v>325527000</v>
      </c>
      <c r="Q63" s="1">
        <v>386914000</v>
      </c>
      <c r="R63" s="1" t="s">
        <v>91</v>
      </c>
      <c r="S63" s="1" t="s">
        <v>91</v>
      </c>
      <c r="T63" s="1">
        <v>294194000</v>
      </c>
      <c r="U63" s="1">
        <v>371433000</v>
      </c>
      <c r="V63" s="1">
        <v>444108000</v>
      </c>
      <c r="W63" s="1">
        <v>134000</v>
      </c>
      <c r="X63" s="1">
        <v>312676000</v>
      </c>
      <c r="Y63" s="1">
        <v>90335000</v>
      </c>
      <c r="Z63" s="1" t="s">
        <v>91</v>
      </c>
      <c r="AA63" s="1" t="s">
        <v>91</v>
      </c>
    </row>
    <row r="64" spans="1:27" ht="19" x14ac:dyDescent="0.25">
      <c r="A64" s="5" t="s">
        <v>55</v>
      </c>
      <c r="B64" s="1" t="s">
        <v>91</v>
      </c>
      <c r="C64" s="1" t="s">
        <v>91</v>
      </c>
      <c r="D64" s="1" t="s">
        <v>91</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91</v>
      </c>
      <c r="Y64" s="1" t="s">
        <v>91</v>
      </c>
      <c r="Z64" s="1">
        <v>76148000</v>
      </c>
      <c r="AA64" s="1">
        <v>60500000</v>
      </c>
    </row>
    <row r="65" spans="1:27" ht="19" x14ac:dyDescent="0.25">
      <c r="A65" s="5" t="s">
        <v>56</v>
      </c>
      <c r="B65" s="1" t="s">
        <v>91</v>
      </c>
      <c r="C65" s="1" t="s">
        <v>91</v>
      </c>
      <c r="D65" s="1" t="s">
        <v>91</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91</v>
      </c>
      <c r="C68" s="1" t="s">
        <v>91</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91</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91</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91</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91</v>
      </c>
      <c r="Z71" s="1" t="s">
        <v>91</v>
      </c>
      <c r="AA71" s="1" t="s">
        <v>91</v>
      </c>
    </row>
    <row r="72" spans="1:27" ht="19" x14ac:dyDescent="0.25">
      <c r="A72" s="6" t="s">
        <v>63</v>
      </c>
      <c r="B72" s="10" t="s">
        <v>91</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91</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91</v>
      </c>
      <c r="C78" s="1" t="s">
        <v>91</v>
      </c>
      <c r="D78" s="1" t="s">
        <v>91</v>
      </c>
      <c r="E78" s="1" t="s">
        <v>91</v>
      </c>
      <c r="F78" s="1">
        <v>-77922000</v>
      </c>
      <c r="G78" s="1">
        <v>10375000</v>
      </c>
      <c r="H78" s="1">
        <v>3321000</v>
      </c>
      <c r="I78" s="1">
        <v>-8390000</v>
      </c>
      <c r="J78" s="1">
        <v>-9890000</v>
      </c>
      <c r="K78" s="1">
        <v>-227194000</v>
      </c>
      <c r="L78" s="1">
        <v>-11042000</v>
      </c>
      <c r="M78" s="1" t="s">
        <v>91</v>
      </c>
      <c r="N78" s="1" t="s">
        <v>91</v>
      </c>
      <c r="O78" s="1" t="s">
        <v>91</v>
      </c>
      <c r="P78" s="1" t="s">
        <v>91</v>
      </c>
      <c r="Q78" s="1">
        <v>71800000</v>
      </c>
      <c r="R78" s="1">
        <v>-112688000</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103</v>
      </c>
      <c r="B80" s="15" t="e">
        <f t="shared" ref="B80:AA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f t="shared" si="8"/>
        <v>4.964589241999226E-2</v>
      </c>
      <c r="O80" s="15">
        <f t="shared" si="8"/>
        <v>7.6667185833218229E-2</v>
      </c>
      <c r="P80" s="15">
        <f t="shared" si="8"/>
        <v>5.6053410848495681E-2</v>
      </c>
      <c r="Q80" s="15">
        <f t="shared" si="8"/>
        <v>3.8189452284361582E-2</v>
      </c>
      <c r="R80" s="15">
        <f t="shared" si="8"/>
        <v>3.797481470582445E-2</v>
      </c>
      <c r="S80" s="15">
        <f t="shared" si="8"/>
        <v>4.3536540816558875E-2</v>
      </c>
      <c r="T80" s="15">
        <f t="shared" si="8"/>
        <v>4.3492994866741054E-2</v>
      </c>
      <c r="U80" s="15">
        <f t="shared" si="8"/>
        <v>4.381495875822012E-2</v>
      </c>
      <c r="V80" s="15">
        <f t="shared" si="8"/>
        <v>4.5410030941682868E-2</v>
      </c>
      <c r="W80" s="15">
        <f t="shared" si="8"/>
        <v>4.321427131062603E-2</v>
      </c>
      <c r="X80" s="15">
        <f t="shared" si="8"/>
        <v>4.1103842696975874E-2</v>
      </c>
      <c r="Y80" s="15">
        <f t="shared" si="8"/>
        <v>3.8135191280674628E-2</v>
      </c>
      <c r="Z80" s="15">
        <f t="shared" si="8"/>
        <v>4.0253062724845884E-2</v>
      </c>
      <c r="AA80" s="15">
        <f t="shared" si="8"/>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25798000</v>
      </c>
      <c r="O82" s="1">
        <v>13147000</v>
      </c>
      <c r="P82" s="1">
        <v>-251000</v>
      </c>
      <c r="Q82" s="1">
        <v>3327000</v>
      </c>
      <c r="R82" s="1">
        <v>-2500000</v>
      </c>
      <c r="S82" s="1">
        <v>-73000</v>
      </c>
      <c r="T82" s="1">
        <v>661000</v>
      </c>
      <c r="U82" s="1">
        <v>-871000</v>
      </c>
      <c r="V82" s="1" t="s">
        <v>91</v>
      </c>
      <c r="W82" s="1" t="s">
        <v>91</v>
      </c>
      <c r="X82" s="1" t="s">
        <v>91</v>
      </c>
      <c r="Y82" s="1" t="s">
        <v>91</v>
      </c>
      <c r="Z82" s="1" t="s">
        <v>91</v>
      </c>
      <c r="AA82" s="1" t="s">
        <v>91</v>
      </c>
    </row>
    <row r="83" spans="1:3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71" t="s">
        <v>125</v>
      </c>
      <c r="AI84" s="72"/>
    </row>
    <row r="85" spans="1:35" ht="20" customHeight="1" x14ac:dyDescent="0.25">
      <c r="A85" s="5" t="s">
        <v>71</v>
      </c>
      <c r="B85" s="1" t="s">
        <v>91</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73" t="s">
        <v>126</v>
      </c>
      <c r="AI85" s="73"/>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39" t="s">
        <v>127</v>
      </c>
      <c r="AI86" s="40">
        <f>AA17</f>
        <v>75300000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39" t="s">
        <v>128</v>
      </c>
      <c r="AI87" s="40">
        <f>AA56</f>
        <v>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9" t="s">
        <v>129</v>
      </c>
      <c r="AI88" s="40">
        <f>AA61</f>
        <v>1789500000</v>
      </c>
    </row>
    <row r="89" spans="1:35" ht="20" customHeight="1" x14ac:dyDescent="0.25">
      <c r="A89" s="14" t="s">
        <v>104</v>
      </c>
      <c r="B89" s="15">
        <f t="shared" ref="B89:AA89" si="9">(-1*B88)/B3</f>
        <v>0.7021276595744681</v>
      </c>
      <c r="C89" s="15">
        <f t="shared" si="9"/>
        <v>0.11311053984575835</v>
      </c>
      <c r="D89" s="15">
        <f t="shared" si="9"/>
        <v>7.0998867604038882E-2</v>
      </c>
      <c r="E89" s="15">
        <f t="shared" si="9"/>
        <v>0.12380414772751208</v>
      </c>
      <c r="F89" s="15">
        <f t="shared" si="9"/>
        <v>0.38662354457869541</v>
      </c>
      <c r="G89" s="15">
        <f t="shared" si="9"/>
        <v>0.14425604992518426</v>
      </c>
      <c r="H89" s="15">
        <f t="shared" si="9"/>
        <v>0.10242325413830372</v>
      </c>
      <c r="I89" s="15">
        <f t="shared" si="9"/>
        <v>7.9327535138517993E-2</v>
      </c>
      <c r="J89" s="15">
        <f t="shared" si="9"/>
        <v>8.7293894851425358E-2</v>
      </c>
      <c r="K89" s="15">
        <f t="shared" si="9"/>
        <v>0.1152903445740959</v>
      </c>
      <c r="L89" s="15">
        <f t="shared" si="9"/>
        <v>0.10174304562821754</v>
      </c>
      <c r="M89" s="15">
        <f t="shared" si="9"/>
        <v>0.12373366883808949</v>
      </c>
      <c r="N89" s="15">
        <f t="shared" si="9"/>
        <v>0.11340369234411553</v>
      </c>
      <c r="O89" s="15">
        <f t="shared" si="9"/>
        <v>0.11832148556080273</v>
      </c>
      <c r="P89" s="15">
        <f t="shared" si="9"/>
        <v>0.2495666974965608</v>
      </c>
      <c r="Q89" s="15">
        <f t="shared" si="9"/>
        <v>6.0695381825840895E-2</v>
      </c>
      <c r="R89" s="15">
        <f t="shared" si="9"/>
        <v>6.7966929406364396E-2</v>
      </c>
      <c r="S89" s="15">
        <f t="shared" si="9"/>
        <v>3.8933113688810306E-2</v>
      </c>
      <c r="T89" s="15">
        <f t="shared" si="9"/>
        <v>3.8377671173135633E-2</v>
      </c>
      <c r="U89" s="15">
        <f t="shared" si="9"/>
        <v>0.14846690545253013</v>
      </c>
      <c r="V89" s="15">
        <f t="shared" si="9"/>
        <v>4.248494757938194E-2</v>
      </c>
      <c r="W89" s="15">
        <f t="shared" si="9"/>
        <v>3.0459213362645468E-2</v>
      </c>
      <c r="X89" s="15">
        <f t="shared" si="9"/>
        <v>3.2733032871869773E-2</v>
      </c>
      <c r="Y89" s="15">
        <f t="shared" si="9"/>
        <v>3.4302937744851596E-2</v>
      </c>
      <c r="Z89" s="15">
        <f t="shared" si="9"/>
        <v>3.9947242191784124E-2</v>
      </c>
      <c r="AA89" s="15">
        <f t="shared" si="9"/>
        <v>1.9229419608393573E-2</v>
      </c>
      <c r="AH89" s="41" t="s">
        <v>130</v>
      </c>
      <c r="AI89" s="42">
        <f>AI86/(AI87+AI88)</f>
        <v>4.2078792958927073E-2</v>
      </c>
    </row>
    <row r="90" spans="1:35" ht="20" x14ac:dyDescent="0.25">
      <c r="A90" s="5" t="s">
        <v>75</v>
      </c>
      <c r="B90" s="1" t="s">
        <v>91</v>
      </c>
      <c r="C90" s="1" t="s">
        <v>91</v>
      </c>
      <c r="D90" s="1" t="s">
        <v>91</v>
      </c>
      <c r="E90" s="1" t="s">
        <v>91</v>
      </c>
      <c r="F90" s="1" t="s">
        <v>91</v>
      </c>
      <c r="G90" s="1" t="s">
        <v>91</v>
      </c>
      <c r="H90" s="1" t="s">
        <v>91</v>
      </c>
      <c r="I90" s="1">
        <v>-246356000</v>
      </c>
      <c r="J90" s="1">
        <v>-151669000</v>
      </c>
      <c r="K90" s="1">
        <v>-604795000</v>
      </c>
      <c r="L90" s="1">
        <v>159023000</v>
      </c>
      <c r="M90" s="1">
        <v>63200000</v>
      </c>
      <c r="N90" s="1">
        <v>469380000</v>
      </c>
      <c r="O90" s="1">
        <v>1162306000</v>
      </c>
      <c r="P90" s="1" t="s">
        <v>91</v>
      </c>
      <c r="Q90" s="1" t="s">
        <v>91</v>
      </c>
      <c r="R90" s="1" t="s">
        <v>91</v>
      </c>
      <c r="S90" s="1" t="s">
        <v>91</v>
      </c>
      <c r="T90" s="1" t="s">
        <v>91</v>
      </c>
      <c r="U90" s="1" t="s">
        <v>91</v>
      </c>
      <c r="V90" s="1" t="s">
        <v>91</v>
      </c>
      <c r="W90" s="1">
        <v>52240000</v>
      </c>
      <c r="X90" s="1">
        <v>-9872000</v>
      </c>
      <c r="Y90" s="1">
        <v>20810000</v>
      </c>
      <c r="Z90" s="1" t="s">
        <v>91</v>
      </c>
      <c r="AA90" s="1" t="s">
        <v>91</v>
      </c>
      <c r="AH90" s="39" t="s">
        <v>105</v>
      </c>
      <c r="AI90" s="40">
        <f>AA27</f>
        <v>206400000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9" t="s">
        <v>19</v>
      </c>
      <c r="AI91" s="40">
        <f>AA25</f>
        <v>880200000</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41" t="s">
        <v>131</v>
      </c>
      <c r="AI92" s="42">
        <f>AI90/AI91</f>
        <v>0.23449216087252897</v>
      </c>
    </row>
    <row r="93" spans="1:35" ht="19" customHeight="1"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91</v>
      </c>
      <c r="Y93" s="1" t="s">
        <v>91</v>
      </c>
      <c r="Z93" s="1" t="s">
        <v>91</v>
      </c>
      <c r="AA93" s="1" t="s">
        <v>91</v>
      </c>
      <c r="AH93" s="41" t="s">
        <v>132</v>
      </c>
      <c r="AI93" s="42">
        <f>AI89*(1-AI92)</f>
        <v>3.2211645871080503E-2</v>
      </c>
    </row>
    <row r="94" spans="1:35" ht="20" customHeight="1"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73" t="s">
        <v>133</v>
      </c>
      <c r="AI94" s="73"/>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-1134000</v>
      </c>
      <c r="O95" s="1">
        <v>-1004000</v>
      </c>
      <c r="P95" s="1">
        <v>-1067000</v>
      </c>
      <c r="Q95" s="1" t="s">
        <v>91</v>
      </c>
      <c r="R95" s="1">
        <v>-100000000</v>
      </c>
      <c r="S95" s="1" t="s">
        <v>91</v>
      </c>
      <c r="T95" s="1" t="s">
        <v>91</v>
      </c>
      <c r="U95" s="1" t="s">
        <v>91</v>
      </c>
      <c r="V95" s="1" t="s">
        <v>91</v>
      </c>
      <c r="W95" s="1">
        <v>-1250009000</v>
      </c>
      <c r="X95" s="1" t="s">
        <v>91</v>
      </c>
      <c r="Y95" s="1" t="s">
        <v>91</v>
      </c>
      <c r="Z95" s="1">
        <v>-750000000</v>
      </c>
      <c r="AA95" s="1" t="s">
        <v>91</v>
      </c>
      <c r="AH95" s="39" t="s">
        <v>134</v>
      </c>
      <c r="AI95" s="66">
        <f>'[1]US Treasury Bonds'!$C$8</f>
        <v>4.7820000000000001E-2</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91</v>
      </c>
      <c r="R96" s="1" t="s">
        <v>91</v>
      </c>
      <c r="S96" s="1" t="s">
        <v>91</v>
      </c>
      <c r="T96" s="1" t="s">
        <v>91</v>
      </c>
      <c r="U96" s="1" t="s">
        <v>91</v>
      </c>
      <c r="V96" s="1" t="s">
        <v>91</v>
      </c>
      <c r="W96" s="1" t="s">
        <v>91</v>
      </c>
      <c r="X96" s="1" t="s">
        <v>91</v>
      </c>
      <c r="Y96" s="1" t="s">
        <v>91</v>
      </c>
      <c r="Z96" s="1" t="s">
        <v>91</v>
      </c>
      <c r="AA96" s="1" t="s">
        <v>91</v>
      </c>
      <c r="AH96" s="44" t="s">
        <v>135</v>
      </c>
      <c r="AI96" s="45" cm="1">
        <f t="array" ref="AI96">_FV(A1,"Beta")</f>
        <v>0.93659999999999999</v>
      </c>
    </row>
    <row r="97" spans="1:35" ht="20" x14ac:dyDescent="0.25">
      <c r="A97" s="5" t="s">
        <v>82</v>
      </c>
      <c r="B97" s="1" t="s">
        <v>91</v>
      </c>
      <c r="C97" s="1" t="s">
        <v>91</v>
      </c>
      <c r="D97" s="1" t="s">
        <v>91</v>
      </c>
      <c r="E97" s="1" t="s">
        <v>91</v>
      </c>
      <c r="F97" s="1">
        <v>-69514000</v>
      </c>
      <c r="G97" s="1" t="s">
        <v>91</v>
      </c>
      <c r="H97" s="1" t="s">
        <v>91</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9" t="s">
        <v>136</v>
      </c>
      <c r="AI97" s="43">
        <v>8.4000000000000005E-2</v>
      </c>
    </row>
    <row r="98" spans="1:3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-518217000</v>
      </c>
      <c r="P98" s="1">
        <v>-463498000</v>
      </c>
      <c r="Q98" s="1" t="s">
        <v>91</v>
      </c>
      <c r="R98" s="1" t="s">
        <v>91</v>
      </c>
      <c r="S98" s="1" t="s">
        <v>91</v>
      </c>
      <c r="T98" s="1" t="s">
        <v>91</v>
      </c>
      <c r="U98" s="1" t="s">
        <v>91</v>
      </c>
      <c r="V98" s="1" t="s">
        <v>91</v>
      </c>
      <c r="W98" s="1" t="s">
        <v>91</v>
      </c>
      <c r="X98" s="1" t="s">
        <v>91</v>
      </c>
      <c r="Y98" s="1" t="s">
        <v>91</v>
      </c>
      <c r="Z98" s="1" t="s">
        <v>91</v>
      </c>
      <c r="AA98" s="1">
        <v>0</v>
      </c>
      <c r="AH98" s="41" t="s">
        <v>137</v>
      </c>
      <c r="AI98" s="42">
        <f>(AI95)+((AI96)*(AI97-AI95))</f>
        <v>8.1706188000000013E-2</v>
      </c>
    </row>
    <row r="99" spans="1:35" ht="20" customHeight="1"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73" t="s">
        <v>138</v>
      </c>
      <c r="AI99" s="73"/>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9" t="s">
        <v>139</v>
      </c>
      <c r="AI100" s="40">
        <f>AI87+AI88</f>
        <v>1789500000</v>
      </c>
    </row>
    <row r="101" spans="1:35" ht="20" x14ac:dyDescent="0.25">
      <c r="A101" s="5" t="s">
        <v>86</v>
      </c>
      <c r="B101" s="1" t="s">
        <v>91</v>
      </c>
      <c r="C101" s="1" t="s">
        <v>91</v>
      </c>
      <c r="D101" s="1" t="s">
        <v>91</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41" t="s">
        <v>140</v>
      </c>
      <c r="AI101" s="42">
        <f>AI100/AI104</f>
        <v>7.7075149886293159E-2</v>
      </c>
    </row>
    <row r="102" spans="1:35" ht="20" x14ac:dyDescent="0.25">
      <c r="A102" s="6" t="s">
        <v>87</v>
      </c>
      <c r="B102" s="10">
        <v>2600000</v>
      </c>
      <c r="C102" s="10" t="s">
        <v>91</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44" t="s">
        <v>141</v>
      </c>
      <c r="AI102" s="46" cm="1">
        <f t="array" ref="AI102">_FV(A1,"Market cap",TRUE)</f>
        <v>21428100000</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41" t="s">
        <v>142</v>
      </c>
      <c r="AI103" s="42">
        <f>AI102/AI104</f>
        <v>0.92292485011370684</v>
      </c>
    </row>
    <row r="104" spans="1:35" ht="20" customHeight="1" thickBot="1" x14ac:dyDescent="0.3">
      <c r="A104" s="7" t="s">
        <v>89</v>
      </c>
      <c r="B104" s="11" t="s">
        <v>91</v>
      </c>
      <c r="C104" s="11" t="s">
        <v>91</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B104" s="75" t="s">
        <v>164</v>
      </c>
      <c r="AC104" s="75"/>
      <c r="AD104" s="75"/>
      <c r="AE104" s="75"/>
      <c r="AF104" s="75"/>
      <c r="AH104" s="41" t="s">
        <v>143</v>
      </c>
      <c r="AI104" s="47">
        <f>AI100+AI102</f>
        <v>23217600000</v>
      </c>
    </row>
    <row r="105" spans="1:35" ht="21" customHeight="1" thickTop="1" x14ac:dyDescent="0.25">
      <c r="A105" s="14" t="s">
        <v>162</v>
      </c>
      <c r="B105" s="1">
        <f t="shared" ref="B105:AA105" si="10">(B22*(1-$AI$92))+B77+B88+B81</f>
        <v>-16744648.943421949</v>
      </c>
      <c r="C105" s="1">
        <f t="shared" si="10"/>
        <v>-11527402.862985684</v>
      </c>
      <c r="D105" s="1">
        <f t="shared" si="10"/>
        <v>2508169.0524880709</v>
      </c>
      <c r="E105" s="1">
        <f t="shared" si="10"/>
        <v>813513796.18268585</v>
      </c>
      <c r="F105" s="1">
        <f t="shared" si="10"/>
        <v>2899859567.8254948</v>
      </c>
      <c r="G105" s="1">
        <f t="shared" si="10"/>
        <v>1095782297.8868442</v>
      </c>
      <c r="H105" s="1">
        <f t="shared" si="10"/>
        <v>279002835.71915472</v>
      </c>
      <c r="I105" s="1">
        <f t="shared" si="10"/>
        <v>234525816.6325835</v>
      </c>
      <c r="J105" s="1">
        <f t="shared" si="10"/>
        <v>290140939.33196998</v>
      </c>
      <c r="K105" s="1">
        <f t="shared" si="10"/>
        <v>163564961.14519429</v>
      </c>
      <c r="L105" s="1">
        <f t="shared" si="10"/>
        <v>-12184751.874573946</v>
      </c>
      <c r="M105" s="1">
        <f t="shared" si="10"/>
        <v>152065113.83776414</v>
      </c>
      <c r="N105" s="1">
        <f t="shared" si="10"/>
        <v>263356477.84594411</v>
      </c>
      <c r="O105" s="1">
        <f t="shared" si="10"/>
        <v>274167457.39604634</v>
      </c>
      <c r="P105" s="1">
        <f t="shared" si="10"/>
        <v>209682861.62235856</v>
      </c>
      <c r="Q105" s="1">
        <f t="shared" si="10"/>
        <v>416955403.54464895</v>
      </c>
      <c r="R105" s="1">
        <f t="shared" si="10"/>
        <v>456777736.87798226</v>
      </c>
      <c r="S105" s="1">
        <f t="shared" si="10"/>
        <v>591403293.115201</v>
      </c>
      <c r="T105" s="1">
        <f t="shared" si="10"/>
        <v>657953413.08793449</v>
      </c>
      <c r="U105" s="1">
        <f t="shared" si="10"/>
        <v>564483248.12542605</v>
      </c>
      <c r="V105" s="1">
        <f t="shared" si="10"/>
        <v>709882738.92297208</v>
      </c>
      <c r="W105" s="1">
        <f t="shared" si="10"/>
        <v>671664591.68370819</v>
      </c>
      <c r="X105" s="1">
        <f t="shared" si="10"/>
        <v>679673537.8323108</v>
      </c>
      <c r="Y105" s="1">
        <f t="shared" si="10"/>
        <v>463697326.51670074</v>
      </c>
      <c r="Z105" s="1">
        <f t="shared" si="10"/>
        <v>573367491.4792093</v>
      </c>
      <c r="AA105" s="1">
        <f t="shared" si="10"/>
        <v>797150443.08111787</v>
      </c>
      <c r="AB105" s="27">
        <f>AA105*(1+$AI$107)</f>
        <v>843492734.91748667</v>
      </c>
      <c r="AC105" s="27">
        <f>AB105*(1+$AI$107)</f>
        <v>892529133.03114283</v>
      </c>
      <c r="AD105" s="27">
        <f>AC105*(1+$AI$107)</f>
        <v>944416259.12433064</v>
      </c>
      <c r="AE105" s="27">
        <f>AD105*(1+$AI$107)</f>
        <v>999319840.09229326</v>
      </c>
      <c r="AF105" s="27">
        <f>AE105*(1+$AI$107)</f>
        <v>1057415237.3531061</v>
      </c>
      <c r="AH105" s="73" t="s">
        <v>144</v>
      </c>
      <c r="AI105" s="73"/>
    </row>
    <row r="106" spans="1:35" ht="20" x14ac:dyDescent="0.25">
      <c r="A106" s="14" t="s">
        <v>106</v>
      </c>
      <c r="B106" s="1"/>
      <c r="C106" s="15">
        <f t="shared" ref="C106:AA106" si="11">(C107/B107)-1</f>
        <v>-0.19801980198019797</v>
      </c>
      <c r="D106" s="15">
        <f t="shared" si="11"/>
        <v>-1.5337037037037038</v>
      </c>
      <c r="E106" s="15">
        <f t="shared" si="11"/>
        <v>14.408165625722878</v>
      </c>
      <c r="F106" s="15">
        <f t="shared" si="11"/>
        <v>-2.1464655942470667</v>
      </c>
      <c r="G106" s="15">
        <f t="shared" si="11"/>
        <v>-1.4181076533251271</v>
      </c>
      <c r="H106" s="15">
        <f t="shared" si="11"/>
        <v>2.9212941213317047</v>
      </c>
      <c r="I106" s="15">
        <f t="shared" si="11"/>
        <v>8.9454725525746293E-2</v>
      </c>
      <c r="J106" s="15">
        <f t="shared" si="11"/>
        <v>0.35060812445474077</v>
      </c>
      <c r="K106" s="15">
        <f t="shared" si="11"/>
        <v>-0.20432944139566944</v>
      </c>
      <c r="L106" s="15">
        <f t="shared" si="11"/>
        <v>8.5462942749549686E-2</v>
      </c>
      <c r="M106" s="15">
        <f t="shared" si="11"/>
        <v>0.14084777027430451</v>
      </c>
      <c r="N106" s="15">
        <f t="shared" si="11"/>
        <v>-0.23338493405757976</v>
      </c>
      <c r="O106" s="15">
        <f t="shared" si="11"/>
        <v>-0.5160914790794604</v>
      </c>
      <c r="P106" s="15">
        <f t="shared" si="11"/>
        <v>6.3573385605773636E-2</v>
      </c>
      <c r="Q106" s="15">
        <f t="shared" si="11"/>
        <v>2.3831584532361543</v>
      </c>
      <c r="R106" s="15">
        <f t="shared" si="11"/>
        <v>6.0246756650234046E-2</v>
      </c>
      <c r="S106" s="15">
        <f t="shared" si="11"/>
        <v>9.30687442463356E-2</v>
      </c>
      <c r="T106" s="15">
        <f t="shared" si="11"/>
        <v>8.7610528077603833E-2</v>
      </c>
      <c r="U106" s="15">
        <f t="shared" si="11"/>
        <v>-0.1840966167124517</v>
      </c>
      <c r="V106" s="15">
        <f t="shared" si="11"/>
        <v>0.31078404815650873</v>
      </c>
      <c r="W106" s="15">
        <f t="shared" si="11"/>
        <v>1.1477783798843344E-2</v>
      </c>
      <c r="X106" s="15">
        <f t="shared" si="11"/>
        <v>7.9932199285670968E-2</v>
      </c>
      <c r="Y106" s="15">
        <f t="shared" si="11"/>
        <v>-3.7540500241039498E-2</v>
      </c>
      <c r="Z106" s="15">
        <f t="shared" si="11"/>
        <v>9.8037531232345376E-2</v>
      </c>
      <c r="AA106" s="15">
        <f t="shared" si="11"/>
        <v>6.5746917926746251E-2</v>
      </c>
      <c r="AB106" s="65">
        <f>(AB107/AA107)-1</f>
        <v>9.7424412094065049E-2</v>
      </c>
      <c r="AC106" s="65">
        <f>(AC107/AB107)-1</f>
        <v>0.1462585034013606</v>
      </c>
      <c r="AD106" s="65">
        <f>(AD107/AC107)-1</f>
        <v>3.4619188921859445E-2</v>
      </c>
      <c r="AE106" s="65">
        <f>(AE107/AD107)-1</f>
        <v>-3.1548757170172137E-2</v>
      </c>
      <c r="AF106" s="65">
        <f>(AF107/AE107)-1</f>
        <v>8.5883514313919163E-2</v>
      </c>
      <c r="AG106" s="70">
        <f>SUM(AB106:AF106)/5</f>
        <v>6.6527372312206429E-2</v>
      </c>
      <c r="AH106" s="48" t="s">
        <v>107</v>
      </c>
      <c r="AI106" s="49">
        <f>(AI101*AI93)+(AI103*AI98)</f>
        <v>7.7891388746860094E-2</v>
      </c>
    </row>
    <row r="107" spans="1:35" ht="19" x14ac:dyDescent="0.25">
      <c r="A107" s="61" t="s">
        <v>163</v>
      </c>
      <c r="B107" s="1">
        <v>-20200000</v>
      </c>
      <c r="C107" s="1">
        <v>-16200000</v>
      </c>
      <c r="D107" s="1">
        <v>8646000</v>
      </c>
      <c r="E107" s="1">
        <v>133219000</v>
      </c>
      <c r="F107" s="1">
        <v>-152731000</v>
      </c>
      <c r="G107" s="1">
        <v>63858000</v>
      </c>
      <c r="H107" s="1">
        <v>250406000</v>
      </c>
      <c r="I107" s="1">
        <v>272806000</v>
      </c>
      <c r="J107" s="1">
        <v>368454000</v>
      </c>
      <c r="K107" s="1">
        <v>293168000</v>
      </c>
      <c r="L107" s="1">
        <v>318223000</v>
      </c>
      <c r="M107" s="1">
        <v>363044000</v>
      </c>
      <c r="N107" s="1">
        <v>278315000</v>
      </c>
      <c r="O107" s="1">
        <v>134679000</v>
      </c>
      <c r="P107" s="1">
        <v>143241000</v>
      </c>
      <c r="Q107" s="1">
        <v>484607000</v>
      </c>
      <c r="R107" s="1">
        <v>513803000</v>
      </c>
      <c r="S107" s="1">
        <v>561622000</v>
      </c>
      <c r="T107" s="1">
        <v>610826000</v>
      </c>
      <c r="U107" s="1">
        <v>498375000</v>
      </c>
      <c r="V107" s="1">
        <v>653262000</v>
      </c>
      <c r="W107" s="1">
        <v>660760000</v>
      </c>
      <c r="X107" s="1">
        <v>713576000</v>
      </c>
      <c r="Y107" s="1">
        <v>686788000</v>
      </c>
      <c r="Z107" s="1">
        <v>754119000</v>
      </c>
      <c r="AA107" s="1">
        <v>803700000</v>
      </c>
      <c r="AB107" s="62">
        <v>882000000</v>
      </c>
      <c r="AC107" s="62">
        <v>1011000000</v>
      </c>
      <c r="AD107" s="62">
        <v>1046000000</v>
      </c>
      <c r="AE107" s="62">
        <v>1013000000</v>
      </c>
      <c r="AF107" s="62">
        <v>1100000000</v>
      </c>
      <c r="AG107" s="28" t="s">
        <v>165</v>
      </c>
      <c r="AH107" s="50" t="s">
        <v>145</v>
      </c>
      <c r="AI107" s="51">
        <f>(SUM(AB4:AF4)/5)</f>
        <v>5.8134938315091755E-2</v>
      </c>
    </row>
    <row r="108" spans="1:35" ht="19" x14ac:dyDescent="0.25">
      <c r="AB108" s="28"/>
      <c r="AC108" s="28"/>
      <c r="AD108" s="28"/>
      <c r="AE108" s="28"/>
      <c r="AF108" s="64">
        <f>AF107*(1+AI108)/(AI109-AI108)</f>
        <v>21317269724.118073</v>
      </c>
      <c r="AG108" s="29" t="s">
        <v>146</v>
      </c>
      <c r="AH108" s="52" t="s">
        <v>147</v>
      </c>
      <c r="AI108" s="53">
        <v>2.5000000000000001E-2</v>
      </c>
    </row>
    <row r="109" spans="1:35" ht="19" x14ac:dyDescent="0.25">
      <c r="AB109" s="64">
        <f>AB108+AB107</f>
        <v>882000000</v>
      </c>
      <c r="AC109" s="64">
        <f>AC108+AC107</f>
        <v>1011000000</v>
      </c>
      <c r="AD109" s="64">
        <f>AD108+AD107</f>
        <v>1046000000</v>
      </c>
      <c r="AE109" s="64">
        <f>AE108+AE107</f>
        <v>1013000000</v>
      </c>
      <c r="AF109" s="64">
        <f>AF108+AF107</f>
        <v>22417269724.118073</v>
      </c>
      <c r="AG109" s="29" t="s">
        <v>143</v>
      </c>
      <c r="AH109" s="54" t="s">
        <v>148</v>
      </c>
      <c r="AI109" s="51">
        <f>AI106</f>
        <v>7.7891388746860094E-2</v>
      </c>
    </row>
    <row r="110" spans="1:35" ht="19" x14ac:dyDescent="0.25">
      <c r="AB110" s="74" t="s">
        <v>149</v>
      </c>
      <c r="AC110" s="74"/>
    </row>
    <row r="111" spans="1:35" ht="20" x14ac:dyDescent="0.25">
      <c r="AB111" s="55" t="s">
        <v>150</v>
      </c>
      <c r="AC111" s="46">
        <f>NPV(AI109,AB109,AC109,AD109,AE109,AF109)</f>
        <v>18680720044.722202</v>
      </c>
    </row>
    <row r="112" spans="1:35" ht="20" x14ac:dyDescent="0.25">
      <c r="AB112" s="55" t="s">
        <v>151</v>
      </c>
      <c r="AC112" s="46">
        <f>AA40</f>
        <v>980400000</v>
      </c>
    </row>
    <row r="113" spans="28:29" ht="20" x14ac:dyDescent="0.25">
      <c r="AB113" s="55" t="s">
        <v>139</v>
      </c>
      <c r="AC113" s="46">
        <f>AI100</f>
        <v>1789500000</v>
      </c>
    </row>
    <row r="114" spans="28:29" ht="20" x14ac:dyDescent="0.25">
      <c r="AB114" s="55" t="s">
        <v>152</v>
      </c>
      <c r="AC114" s="46">
        <f>AC111+AC112-AC113</f>
        <v>17871620044.722202</v>
      </c>
    </row>
    <row r="115" spans="28:29" ht="20" x14ac:dyDescent="0.25">
      <c r="AB115" s="55" t="s">
        <v>157</v>
      </c>
      <c r="AC115" s="55">
        <f>AA34*(1+(AG16*5))</f>
        <v>93150646.3458101</v>
      </c>
    </row>
    <row r="116" spans="28:29" ht="20" x14ac:dyDescent="0.25">
      <c r="AB116" s="56" t="s">
        <v>153</v>
      </c>
      <c r="AC116" s="57">
        <f>AC114/AC115</f>
        <v>191.85717701169838</v>
      </c>
    </row>
    <row r="117" spans="28:29" ht="20" x14ac:dyDescent="0.25">
      <c r="AB117" s="55" t="s">
        <v>154</v>
      </c>
      <c r="AC117" s="58" cm="1">
        <f t="array" ref="AC117">_FV(A1,"Price")</f>
        <v>208.29</v>
      </c>
    </row>
    <row r="118" spans="28:29" ht="20" x14ac:dyDescent="0.25">
      <c r="AB118" s="56" t="s">
        <v>155</v>
      </c>
      <c r="AC118" s="59">
        <f>AC116/AC117-1</f>
        <v>-7.889396028758755E-2</v>
      </c>
    </row>
    <row r="119" spans="28:29" ht="20" x14ac:dyDescent="0.25">
      <c r="AB119" s="56" t="s">
        <v>156</v>
      </c>
      <c r="AC119" s="60" t="str">
        <f>IF(AC116&gt;AC117,"BUY","SELL")</f>
        <v>SELL</v>
      </c>
    </row>
  </sheetData>
  <mergeCells count="7">
    <mergeCell ref="AH84:AI84"/>
    <mergeCell ref="AH85:AI85"/>
    <mergeCell ref="AB110:AC110"/>
    <mergeCell ref="AB104:AF104"/>
    <mergeCell ref="AH105:AI105"/>
    <mergeCell ref="AH99:AI99"/>
    <mergeCell ref="AH94:AI9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 ref="AG107" r:id="rId55" xr:uid="{078C0F68-B5C7-1446-9E68-651EB590BB14}"/>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2023-03-14T01:04:36Z</dcterms:created>
  <dcterms:modified xsi:type="dcterms:W3CDTF">2023-10-11T05:03:11Z</dcterms:modified>
</cp:coreProperties>
</file>