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EB8FA94-6B30-AE4D-9466-CAE42FC55C4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5" i="1" l="1"/>
  <c r="M105" i="1"/>
  <c r="L105" i="1"/>
  <c r="K105" i="1"/>
  <c r="J105" i="1"/>
  <c r="Q95" i="1"/>
  <c r="R7" i="1"/>
  <c r="Q7" i="1"/>
  <c r="P7" i="1"/>
  <c r="J34" i="1" a="1"/>
  <c r="J34" i="1" s="1"/>
  <c r="J35" i="1" s="1"/>
  <c r="J33" i="1" a="1"/>
  <c r="J33" i="1" s="1"/>
  <c r="N106" i="1"/>
  <c r="M106" i="1"/>
  <c r="L106" i="1"/>
  <c r="K106" i="1"/>
  <c r="J109" i="1"/>
  <c r="K109" i="1"/>
  <c r="L109" i="1"/>
  <c r="M109" i="1"/>
  <c r="C105" i="1"/>
  <c r="D105" i="1"/>
  <c r="E105" i="1"/>
  <c r="F105" i="1"/>
  <c r="G105" i="1"/>
  <c r="H105" i="1"/>
  <c r="I105" i="1"/>
  <c r="J106" i="1" s="1"/>
  <c r="O106" i="1" s="1"/>
  <c r="K30" i="1" l="1"/>
  <c r="L30" i="1"/>
  <c r="M30" i="1"/>
  <c r="N30" i="1"/>
  <c r="J30" i="1"/>
  <c r="J29" i="1"/>
  <c r="K29" i="1"/>
  <c r="L29" i="1"/>
  <c r="M29" i="1"/>
  <c r="N29" i="1"/>
  <c r="K21" i="1"/>
  <c r="L21" i="1"/>
  <c r="M21" i="1"/>
  <c r="N21" i="1"/>
  <c r="J21" i="1"/>
  <c r="J20" i="1"/>
  <c r="K20" i="1"/>
  <c r="L20" i="1"/>
  <c r="M20" i="1"/>
  <c r="N20" i="1"/>
  <c r="K117" i="1" a="1"/>
  <c r="K117" i="1" s="1"/>
  <c r="Q102" i="1" a="1"/>
  <c r="Q102" i="1" s="1"/>
  <c r="Q96" i="1" a="1"/>
  <c r="Q96" i="1" s="1"/>
  <c r="R22" i="1" l="1"/>
  <c r="R19" i="1"/>
  <c r="P22" i="1"/>
  <c r="Q22" i="1"/>
  <c r="P19" i="1"/>
  <c r="Q19" i="1"/>
  <c r="O19" i="1"/>
  <c r="R16" i="1"/>
  <c r="Q16" i="1"/>
  <c r="P16" i="1"/>
  <c r="R13" i="1"/>
  <c r="Q13" i="1"/>
  <c r="P13" i="1"/>
  <c r="O13" i="1"/>
  <c r="P10" i="1"/>
  <c r="O7" i="1"/>
  <c r="O4" i="1"/>
  <c r="K112" i="1"/>
  <c r="Q91" i="1"/>
  <c r="Q90" i="1"/>
  <c r="Q92" i="1" s="1"/>
  <c r="Q88" i="1"/>
  <c r="Q87" i="1"/>
  <c r="Q100" i="1" s="1"/>
  <c r="Q104" i="1" s="1"/>
  <c r="Q103" i="1" s="1"/>
  <c r="Q86" i="1"/>
  <c r="Q89" i="1" s="1"/>
  <c r="N4" i="1"/>
  <c r="M4" i="1"/>
  <c r="L4" i="1"/>
  <c r="K4" i="1"/>
  <c r="J4" i="1"/>
  <c r="H106" i="1"/>
  <c r="I106" i="1"/>
  <c r="G106" i="1"/>
  <c r="F106" i="1"/>
  <c r="E106" i="1"/>
  <c r="D106" i="1"/>
  <c r="C106" i="1"/>
  <c r="H89" i="1"/>
  <c r="I89" i="1"/>
  <c r="R10" i="1" s="1"/>
  <c r="G89" i="1"/>
  <c r="F89" i="1"/>
  <c r="E89" i="1"/>
  <c r="D89" i="1"/>
  <c r="C89" i="1"/>
  <c r="B89" i="1"/>
  <c r="H80" i="1"/>
  <c r="I80" i="1"/>
  <c r="Q10" i="1" s="1"/>
  <c r="G80" i="1"/>
  <c r="F80" i="1"/>
  <c r="E80" i="1"/>
  <c r="D80" i="1"/>
  <c r="C80" i="1"/>
  <c r="B80" i="1"/>
  <c r="H35" i="1"/>
  <c r="I35" i="1"/>
  <c r="O16" i="1" s="1"/>
  <c r="K115" i="1" s="1"/>
  <c r="G35" i="1"/>
  <c r="F35" i="1"/>
  <c r="E35" i="1"/>
  <c r="D35" i="1"/>
  <c r="C35" i="1"/>
  <c r="H29" i="1"/>
  <c r="I29" i="1"/>
  <c r="Q4" i="1" s="1"/>
  <c r="G29" i="1"/>
  <c r="F29" i="1"/>
  <c r="E29" i="1"/>
  <c r="D29" i="1"/>
  <c r="C29" i="1"/>
  <c r="H20" i="1"/>
  <c r="I20" i="1"/>
  <c r="P4" i="1" s="1"/>
  <c r="G20" i="1"/>
  <c r="F20" i="1"/>
  <c r="E20" i="1"/>
  <c r="D20" i="1"/>
  <c r="C20" i="1"/>
  <c r="H13" i="1"/>
  <c r="I13" i="1"/>
  <c r="G13" i="1"/>
  <c r="F13" i="1"/>
  <c r="E13" i="1"/>
  <c r="D13" i="1"/>
  <c r="C13" i="1"/>
  <c r="B13" i="1"/>
  <c r="H9" i="1"/>
  <c r="I9" i="1"/>
  <c r="O10" i="1" s="1"/>
  <c r="G9" i="1"/>
  <c r="F9" i="1"/>
  <c r="E9" i="1"/>
  <c r="D9" i="1"/>
  <c r="C9" i="1"/>
  <c r="B9" i="1"/>
  <c r="I4" i="1"/>
  <c r="H4" i="1"/>
  <c r="G4" i="1"/>
  <c r="F4" i="1"/>
  <c r="E4" i="1"/>
  <c r="D4" i="1"/>
  <c r="C4" i="1"/>
  <c r="R4" i="1" l="1"/>
  <c r="Q93" i="1"/>
  <c r="Q107" i="1"/>
  <c r="K113" i="1"/>
  <c r="Q101" i="1"/>
  <c r="Q98" i="1" l="1"/>
  <c r="Q106" i="1" s="1"/>
  <c r="Q109" i="1" s="1"/>
  <c r="N108" i="1" s="1"/>
  <c r="N109" i="1" s="1"/>
  <c r="K111" i="1" s="1"/>
  <c r="K114" i="1" s="1"/>
  <c r="K116" i="1" s="1"/>
  <c r="K119" i="1" l="1"/>
  <c r="K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<sst xmlns="http://schemas.openxmlformats.org/spreadsheetml/2006/main" count="391" uniqueCount="169">
  <si>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</si>
  <si>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</si>
  <si>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</si>
  <si>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</si>
  <si>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</si>
  <si>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</si>
  <si>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</si>
  <si>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</si>
  <si>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</si>
  <si>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</si>
  <si>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</si>
  <si>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</si>
  <si>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</si>
  <si>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</si>
  <si>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</si>
  <si>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</si>
  <si>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</si>
  <si>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</si>
  <si>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</si>
  <si>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</si>
  <si>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</si>
  <si>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</si>
  <si>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</si>
  <si>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</si>
  <si>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</si>
  <si>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</si>
  <si>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</si>
  <si>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</si>
  <si>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</si>
  <si>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</si>
  <si>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</si>
  <si>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</si>
  <si>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</si>
  <si>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</si>
  <si>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</si>
  <si>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</si>
  <si>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</si>
  <si>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</si>
  <si>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</si>
  <si>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</si>
  <si>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</si>
  <si>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</si>
  <si>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</si>
  <si>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</si>
  <si>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</si>
  <si>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</si>
  <si>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</si>
  <si>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</si>
  <si>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</si>
  <si>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</si>
  <si>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</si>
  <si>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</si>
  <si>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</si>
  <si>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</si>
  <si>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</si>
  <si>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</si>
  <si>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</si>
  <si>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</si>
  <si>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</si>
  <si>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</si>
  <si>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</si>
  <si>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</si>
  <si>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</si>
  <si>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</si>
  <si>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</si>
  <si>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</si>
  <si>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</si>
  <si>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</si>
  <si>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</si>
  <si>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</si>
  <si>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</si>
  <si>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</si>
  <si>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</si>
  <si>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</si>
  <si>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</si>
  <si>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</si>
  <si>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</si>
  <si>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</si>
  <si>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</si>
  <si>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</si>
  <si>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</si>
  <si>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</si>
  <si>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</si>
  <si>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</si>
  <si>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</si>
  <si>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</si>
  <si>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</si>
  <si>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</si>
  <si>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</si>
  <si>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</si>
  <si>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</si>
  <si>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</si>
  <si>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</si>
  <si>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</si>
  <si>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</si>
  <si>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</si>
  <si>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</si>
  <si>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</si>
  <si>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</si>
  <si>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</si>
  <si>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</si>
  <si>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</si>
  <si>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</si>
  <si>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</si>
  <si>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</si>
  <si>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</si>
  <si>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</si>
  <si>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</si>
  <si>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</si>
  <si>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</si>
  <si>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</si>
  <si>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</si>
  <si>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</si>
  <si>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</si>
  <si>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</si>
  <si>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</si>
  <si>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</si>
  <si>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</si>
  <si>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</si>
  <si>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</si>
  <si>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</si>
  <si>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</si>
  <si>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</si>
  <si>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</si>
  <si>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</si>
  <si>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</si>
  <si>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</si>
  <si>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</si>
  <si>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</si>
  <si>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</si>
  <si>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</si>
  <si>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</si>
  <si>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</si>
  <si>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</si>
  <si>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</si>
  <si>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</si>
  <si>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</si>
  <si>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</si>
  <si>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</si>
  <si>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</si>
  <si>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</si>
  <si>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</si>
  <si>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</si>
  <si>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</si>
  <si>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</si>
  <si>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</si>
  <si>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</si>
  <si>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</si>
  <si>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</si>
  <si>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</si>
  <si>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</si>
  <si>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</si>
  <si>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</si>
  <si>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</si>
  <si>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</si>
  <si>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 Dilution (3yr)</t>
  </si>
  <si>
    <t>Forward P/S</t>
  </si>
  <si>
    <t>Forward P/E</t>
  </si>
  <si>
    <t>Forward P/FCF</t>
  </si>
  <si>
    <t>Unlevered FCF</t>
  </si>
  <si>
    <t>Levered FCF Growth YoY</t>
  </si>
  <si>
    <t>Levered FCF</t>
  </si>
  <si>
    <t>Unlevered FCF Forecast</t>
  </si>
  <si>
    <t>Dividend Yield</t>
  </si>
  <si>
    <t>5Y Fwd FCF CAGR</t>
  </si>
  <si>
    <t>Shares (4% Dilution)</t>
  </si>
  <si>
    <t>Forward FCF Yield</t>
  </si>
  <si>
    <t>4Y Fwd Income CAGR</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</si>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</sst>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4" fontId="6" fillId="0" borderId="0" xfId="0" applyNumberFormat="1" applyFont="1"/>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0" fontId="1" fillId="0" borderId="0" xfId="0" applyFont="1" applyAlignment="1">
      <alignment indent="1"/>
    </xf>
    <xf numFmtId="170" fontId="11" fillId="0" borderId="9" xfId="0" applyNumberFormat="1" applyFont="1" applyBorder="1" applyAlignment="1">
      <alignment horizontal="center"/>
    </xf>
    <xf numFmtId="170" fontId="11" fillId="0" borderId="7" xfId="0" applyNumberFormat="1" applyFont="1" applyBorder="1" applyAlignment="1">
      <alignment horizontal="center"/>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0" fontId="17" fillId="7" borderId="8" xfId="0" applyFont="1" applyFill="1" applyBorder="1" applyAlignment="1">
      <alignment horizontal="center" vertical="center" wrapText="1"/>
    </xf>
    <xf numFmtId="0" fontId="0" fillId="0" borderId="0" xfId="0" applyAlignment="1">
      <alignment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9" fontId="1" fillId="0" borderId="0" xfId="0" applyNumberFormat="1" applyFont="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6"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6" fillId="6" borderId="0" xfId="0" applyFont="1" applyFill="1" applyAlignment="1">
      <alignment vertical="center" wrapText="1"/>
    </xf>
    <xf numFmtId="0" fontId="16"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9" fontId="1" fillId="6" borderId="0" xfId="0" applyNumberFormat="1" applyFont="1" applyFill="1" applyAlignment="1">
      <alignment horizontal="center" vertical="center"/>
    </xf>
    <xf numFmtId="0" fontId="13" fillId="7" borderId="5"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4" fillId="3" borderId="0" xfId="0" applyFont="1" applyFill="1" applyAlignment="1">
      <alignment horizontal="center" vertical="center"/>
    </xf>
    <xf numFmtId="0" fontId="15" fillId="3" borderId="0" xfId="0" applyFont="1" applyFill="1" applyAlignment="1">
      <alignment horizontal="center" vertical="center"/>
    </xf>
    <xf numFmtId="0" fontId="12" fillId="4" borderId="0" xfId="0" applyFont="1" applyFill="1" applyAlignment="1">
      <alignment horizontal="center" vertical="center" wrapText="1"/>
    </xf>
    <xf numFmtId="0" fontId="1"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ZScaler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8895867768595033E-2"/>
          <c:y val="0.14503874977643469"/>
          <c:w val="0.84292231404958684"/>
          <c:h val="0.681749795895294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1'!$B$3:$N$3</c:f>
              <c:numCache>
                <c:formatCode>#,###,,;\(#,###,,\);\ \-\ \-</c:formatCode>
                <c:ptCount val="13"/>
                <c:pt idx="0">
                  <c:v>53707000</c:v>
                </c:pt>
                <c:pt idx="1">
                  <c:v>80325000</c:v>
                </c:pt>
                <c:pt idx="2">
                  <c:v>125717000</c:v>
                </c:pt>
                <c:pt idx="3">
                  <c:v>190174000</c:v>
                </c:pt>
                <c:pt idx="4">
                  <c:v>302836000</c:v>
                </c:pt>
                <c:pt idx="5">
                  <c:v>431269000</c:v>
                </c:pt>
                <c:pt idx="6">
                  <c:v>673100000</c:v>
                </c:pt>
                <c:pt idx="7">
                  <c:v>1090946000</c:v>
                </c:pt>
                <c:pt idx="8">
                  <c:v>1592000000</c:v>
                </c:pt>
                <c:pt idx="9">
                  <c:v>2041000000</c:v>
                </c:pt>
                <c:pt idx="10">
                  <c:v>2583000000</c:v>
                </c:pt>
                <c:pt idx="11">
                  <c:v>3263000000</c:v>
                </c:pt>
                <c:pt idx="12">
                  <c:v>4054000000</c:v>
                </c:pt>
              </c:numCache>
            </c:numRef>
          </c:val>
          <c:extLst>
            <c:ext xmlns:c16="http://schemas.microsoft.com/office/drawing/2014/chart" uri="{C3380CC4-5D6E-409C-BE32-E72D297353CC}">
              <c16:uniqueId val="{00000000-DAB1-1D47-8B9E-0749F82489C1}"/>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1'!$B$28:$N$28</c:f>
              <c:numCache>
                <c:formatCode>#,###,,;\(#,###,,\);\ \-\ \-</c:formatCode>
                <c:ptCount val="13"/>
                <c:pt idx="0">
                  <c:v>-12832000</c:v>
                </c:pt>
                <c:pt idx="1">
                  <c:v>-27438000</c:v>
                </c:pt>
                <c:pt idx="2">
                  <c:v>-35460000</c:v>
                </c:pt>
                <c:pt idx="3">
                  <c:v>-33646000</c:v>
                </c:pt>
                <c:pt idx="4">
                  <c:v>-28655000</c:v>
                </c:pt>
                <c:pt idx="5">
                  <c:v>-115116000</c:v>
                </c:pt>
                <c:pt idx="6">
                  <c:v>-262029000</c:v>
                </c:pt>
                <c:pt idx="7">
                  <c:v>-390278000</c:v>
                </c:pt>
                <c:pt idx="8">
                  <c:v>253400000</c:v>
                </c:pt>
                <c:pt idx="9">
                  <c:v>340000000</c:v>
                </c:pt>
                <c:pt idx="10">
                  <c:v>461400000</c:v>
                </c:pt>
                <c:pt idx="11">
                  <c:v>494000000</c:v>
                </c:pt>
                <c:pt idx="12">
                  <c:v>672000000</c:v>
                </c:pt>
              </c:numCache>
            </c:numRef>
          </c:val>
          <c:extLst>
            <c:ext xmlns:c16="http://schemas.microsoft.com/office/drawing/2014/chart" uri="{C3380CC4-5D6E-409C-BE32-E72D297353CC}">
              <c16:uniqueId val="{00000001-DAB1-1D47-8B9E-0749F82489C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1'!$B$1:$N$1</c:f>
              <c:numCache>
                <c:formatCode>General</c:formatCode>
                <c:ptCount val="13"/>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numCache>
            </c:numRef>
          </c:cat>
          <c:val>
            <c:numRef>
              <c:f>'Sheet 1'!$B$107:$N$107</c:f>
              <c:numCache>
                <c:formatCode>#,###,,;\(#,###,,\);\ \-\ \-</c:formatCode>
                <c:ptCount val="13"/>
                <c:pt idx="0">
                  <c:v>-9984000</c:v>
                </c:pt>
                <c:pt idx="1">
                  <c:v>-18163000</c:v>
                </c:pt>
                <c:pt idx="2">
                  <c:v>-14193000</c:v>
                </c:pt>
                <c:pt idx="3">
                  <c:v>2137000</c:v>
                </c:pt>
                <c:pt idx="4">
                  <c:v>27865000</c:v>
                </c:pt>
                <c:pt idx="5">
                  <c:v>27508000</c:v>
                </c:pt>
                <c:pt idx="6">
                  <c:v>143743000</c:v>
                </c:pt>
                <c:pt idx="7">
                  <c:v>231332000</c:v>
                </c:pt>
                <c:pt idx="8">
                  <c:v>350000000</c:v>
                </c:pt>
                <c:pt idx="9">
                  <c:v>369500000</c:v>
                </c:pt>
                <c:pt idx="10">
                  <c:v>490500000</c:v>
                </c:pt>
                <c:pt idx="11">
                  <c:v>722400000</c:v>
                </c:pt>
                <c:pt idx="12">
                  <c:v>1046000000</c:v>
                </c:pt>
              </c:numCache>
            </c:numRef>
          </c:val>
          <c:extLst>
            <c:ext xmlns:c16="http://schemas.microsoft.com/office/drawing/2014/chart" uri="{C3380CC4-5D6E-409C-BE32-E72D297353CC}">
              <c16:uniqueId val="{00000002-DAB1-1D47-8B9E-0749F82489C1}"/>
            </c:ext>
          </c:extLst>
        </c:ser>
        <c:dLbls>
          <c:showLegendKey val="0"/>
          <c:showVal val="0"/>
          <c:showCatName val="0"/>
          <c:showSerName val="0"/>
          <c:showPercent val="0"/>
          <c:showBubbleSize val="0"/>
        </c:dLbls>
        <c:gapWidth val="150"/>
        <c:overlap val="100"/>
        <c:axId val="1690690832"/>
        <c:axId val="1690622832"/>
      </c:barChart>
      <c:catAx>
        <c:axId val="1690690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90622832"/>
        <c:crosses val="autoZero"/>
        <c:auto val="1"/>
        <c:lblAlgn val="ctr"/>
        <c:lblOffset val="100"/>
        <c:noMultiLvlLbl val="0"/>
      </c:catAx>
      <c:valAx>
        <c:axId val="169062283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90690832"/>
        <c:crosses val="autoZero"/>
        <c:crossBetween val="between"/>
      </c:valAx>
      <c:spPr>
        <a:noFill/>
        <a:ln>
          <a:noFill/>
        </a:ln>
        <a:effectLst/>
      </c:spPr>
    </c:plotArea>
    <c:legend>
      <c:legendPos val="b"/>
      <c:layout>
        <c:manualLayout>
          <c:xMode val="edge"/>
          <c:yMode val="edge"/>
          <c:x val="0.34443209474848702"/>
          <c:y val="0.88966970715492411"/>
          <c:w val="0.31378033448298304"/>
          <c:h val="6.031189793745360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15874</xdr:colOff>
      <xdr:row>109</xdr:row>
      <xdr:rowOff>33338</xdr:rowOff>
    </xdr:from>
    <xdr:to>
      <xdr:col>16</xdr:col>
      <xdr:colOff>1603374</xdr:colOff>
      <xdr:row>127</xdr:row>
      <xdr:rowOff>190500</xdr:rowOff>
    </xdr:to>
    <xdr:graphicFrame macro="">
      <xdr:nvGraphicFramePr>
        <xdr:cNvPr id="3" name="Chart 2">
          <a:extLst>
            <a:ext uri="{FF2B5EF4-FFF2-40B4-BE49-F238E27FC236}">
              <a16:creationId xmlns:a16="http://schemas.microsoft.com/office/drawing/2014/main" id="{E1142119-98BB-2627-C6A8-4BD9C9D6D1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4.9020000000000001E-2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177.69</v>
    <v>84.93</v>
    <v>0.80549999999999999</v>
    <v>-1.33</v>
    <v>-7.8049999999999994E-3</v>
    <v>-0.22</v>
    <v>-1.3009999999999999E-3</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177.69</v>
    <v>Software &amp; IT Services</v>
    <v>Stock</v>
    <v>45218.999968633594</v>
    <v>0</v>
    <v>168.49</v>
    <v>24881829016</v>
    <v>ZSCALER, INC.</v>
    <v>ZSCALER, INC.</v>
    <v>175.01</v>
    <v>170.4</v>
    <v>169.07</v>
    <v>168.85</v>
    <v>147168800</v>
    <v>ZS</v>
    <v>ZSCALER, INC. (XNAS:ZS)</v>
    <v>1903757</v>
    <v>1630899</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ZS/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20" Type="http://schemas.openxmlformats.org/officeDocument/2006/relationships/drawing" Target="../drawings/drawing1.xm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hyperlink" Target="https://finbox.com/NASDAQGS:ZS/explorer/fcf_unlev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G88" activePane="bottomRight" state="frozen"/>
      <selection pane="topRight"/>
      <selection pane="bottomLeft"/>
      <selection pane="bottomRight" activeCell="M41" sqref="M41"/>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1592000000</v>
      </c>
      <c r="K3" s="22">
        <v>2041000000</v>
      </c>
      <c r="L3" s="22">
        <v>2583000000</v>
      </c>
      <c r="M3" s="22">
        <v>3263000000</v>
      </c>
      <c r="N3" s="22">
        <v>4054000000</v>
      </c>
      <c r="O3" s="23" t="s">
        <v>108</v>
      </c>
      <c r="P3" s="24" t="s">
        <v>109</v>
      </c>
      <c r="Q3" s="24" t="s">
        <v>110</v>
      </c>
      <c r="R3" s="24" t="s">
        <v>111</v>
      </c>
    </row>
    <row r="4" spans="1:38" ht="19" x14ac:dyDescent="0.25">
      <c r="A4" s="14" t="s">
        <v>93</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0.45928396089265644</v>
      </c>
      <c r="K4" s="16">
        <f t="shared" si="0"/>
        <v>0.28203517587939708</v>
      </c>
      <c r="L4" s="16">
        <f t="shared" si="0"/>
        <v>0.26555609995100449</v>
      </c>
      <c r="M4" s="16">
        <f t="shared" si="0"/>
        <v>0.26325977545489732</v>
      </c>
      <c r="N4" s="16">
        <f t="shared" si="0"/>
        <v>0.24241495556236603</v>
      </c>
      <c r="O4" s="25">
        <f>(I4+H4+G4)/3</f>
        <v>0.53520738402986978</v>
      </c>
      <c r="P4" s="25">
        <f>(I20+H20+G20)/3</f>
        <v>1.9422162936945606</v>
      </c>
      <c r="Q4" s="25">
        <f>(I29+H29+G29)/3</f>
        <v>1.5943240760148953</v>
      </c>
      <c r="R4" s="25">
        <f>(I106+H106+G106)/3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23" t="s">
        <v>112</v>
      </c>
      <c r="P6" s="70" t="s">
        <v>113</v>
      </c>
      <c r="Q6" s="70" t="s">
        <v>114</v>
      </c>
      <c r="R6" s="70" t="s">
        <v>115</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25">
        <f>I7</f>
        <v>0.77790000000000004</v>
      </c>
      <c r="P7" s="26">
        <f>J21</f>
        <v>0.1746859296482412</v>
      </c>
      <c r="Q7" s="26">
        <f>J30</f>
        <v>0.15917085427135677</v>
      </c>
      <c r="R7" s="26">
        <f>J107/J3</f>
        <v>0.21984924623115579</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94</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23" t="s">
        <v>95</v>
      </c>
      <c r="P9" s="24" t="s">
        <v>96</v>
      </c>
      <c r="Q9" s="24" t="s">
        <v>97</v>
      </c>
      <c r="R9" s="24" t="s">
        <v>98</v>
      </c>
    </row>
    <row r="10" spans="1:38" ht="19" x14ac:dyDescent="0.25">
      <c r="A10" s="5" t="s">
        <v>6</v>
      </c>
      <c r="B10" s="1">
        <v>4469000</v>
      </c>
      <c r="C10" s="1">
        <v>9399000</v>
      </c>
      <c r="D10" s="1">
        <v>20521000</v>
      </c>
      <c r="E10" s="1">
        <v>31135000</v>
      </c>
      <c r="F10" s="1">
        <v>46598000</v>
      </c>
      <c r="G10" s="1">
        <v>73632000</v>
      </c>
      <c r="H10" s="1">
        <v>96535000</v>
      </c>
      <c r="I10" s="1">
        <v>151735000</v>
      </c>
      <c r="O10" s="25">
        <f>I9</f>
        <v>0.26503511631189813</v>
      </c>
      <c r="P10" s="26">
        <f>I13</f>
        <v>0.81301365970451334</v>
      </c>
      <c r="Q10" s="26">
        <f>I80</f>
        <v>0.3754191316527124</v>
      </c>
      <c r="R10" s="26">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23" t="s">
        <v>116</v>
      </c>
      <c r="P12" s="24" t="s">
        <v>117</v>
      </c>
      <c r="Q12" s="24" t="s">
        <v>118</v>
      </c>
      <c r="R12" s="24" t="s">
        <v>119</v>
      </c>
    </row>
    <row r="13" spans="1:38" ht="19" x14ac:dyDescent="0.25">
      <c r="A13" s="14" t="s">
        <v>99</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25">
        <f>I28/I72</f>
        <v>-0.68075702075702071</v>
      </c>
      <c r="P13" s="26">
        <f>I28/I54</f>
        <v>-0.13777767579293704</v>
      </c>
      <c r="Q13" s="26">
        <f>I22/(I72+I56+I61)</f>
        <v>-0.20223875895447993</v>
      </c>
      <c r="R13" s="19">
        <f>I67/I72</f>
        <v>3.9409820338391768</v>
      </c>
    </row>
    <row r="14" spans="1:38" ht="19" x14ac:dyDescent="0.25">
      <c r="A14" s="5" t="s">
        <v>9</v>
      </c>
      <c r="B14" s="1" t="s">
        <v>91</v>
      </c>
      <c r="C14" s="1" t="s">
        <v>91</v>
      </c>
      <c r="D14" s="1" t="s">
        <v>91</v>
      </c>
      <c r="E14" s="1" t="s">
        <v>91</v>
      </c>
      <c r="F14" s="1" t="s">
        <v>91</v>
      </c>
      <c r="G14" s="1" t="s">
        <v>91</v>
      </c>
      <c r="H14" s="1" t="s">
        <v>91</v>
      </c>
      <c r="I14" s="1" t="s">
        <v>91</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23" t="s">
        <v>155</v>
      </c>
      <c r="P15" s="24" t="s">
        <v>151</v>
      </c>
      <c r="Q15" s="24" t="s">
        <v>152</v>
      </c>
      <c r="R15" s="24" t="s">
        <v>153</v>
      </c>
    </row>
    <row r="16" spans="1:38" ht="19" x14ac:dyDescent="0.25">
      <c r="A16" s="5" t="s">
        <v>11</v>
      </c>
      <c r="B16" s="1">
        <v>66125000</v>
      </c>
      <c r="C16" s="1">
        <v>107168000</v>
      </c>
      <c r="D16" s="1">
        <v>160790000</v>
      </c>
      <c r="E16" s="1">
        <v>224798000</v>
      </c>
      <c r="F16" s="1">
        <v>338149000</v>
      </c>
      <c r="G16" s="1">
        <v>545225000</v>
      </c>
      <c r="H16" s="1">
        <v>880912000</v>
      </c>
      <c r="I16" s="1">
        <v>1418375000</v>
      </c>
      <c r="O16" s="18">
        <f>(I35+H35+G35)/3</f>
        <v>4.4726828389374695E-2</v>
      </c>
      <c r="P16" s="35">
        <f>Q102/I3</f>
        <v>22.807571608493912</v>
      </c>
      <c r="Q16" s="35">
        <f>Q102/I28</f>
        <v>-63.754116337585003</v>
      </c>
      <c r="R16" s="36">
        <f>Q102/I107</f>
        <v>107.5589586222399</v>
      </c>
    </row>
    <row r="17" spans="1:18" ht="19" x14ac:dyDescent="0.25">
      <c r="A17" s="5" t="s">
        <v>12</v>
      </c>
      <c r="B17" s="1" t="s">
        <v>91</v>
      </c>
      <c r="C17" s="1" t="s">
        <v>91</v>
      </c>
      <c r="D17" s="1" t="s">
        <v>91</v>
      </c>
      <c r="E17" s="1" t="s">
        <v>91</v>
      </c>
      <c r="F17" s="1" t="s">
        <v>91</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23" t="s">
        <v>154</v>
      </c>
      <c r="P18" s="24" t="s">
        <v>156</v>
      </c>
      <c r="Q18" s="24" t="s">
        <v>157</v>
      </c>
      <c r="R18" s="24" t="s">
        <v>158</v>
      </c>
    </row>
    <row r="19" spans="1:18" ht="19" x14ac:dyDescent="0.25">
      <c r="A19" s="6" t="s">
        <v>14</v>
      </c>
      <c r="B19" s="10">
        <v>-9745000</v>
      </c>
      <c r="C19" s="10">
        <v>-22098000</v>
      </c>
      <c r="D19" s="10">
        <v>-27743000</v>
      </c>
      <c r="E19" s="10">
        <v>-24321000</v>
      </c>
      <c r="F19" s="10">
        <v>-16606000</v>
      </c>
      <c r="G19" s="10">
        <v>-86585000</v>
      </c>
      <c r="H19" s="10">
        <v>-169977000</v>
      </c>
      <c r="I19" s="10">
        <v>-280368000</v>
      </c>
      <c r="J19" s="30">
        <v>278100000</v>
      </c>
      <c r="K19" s="30">
        <v>396000000</v>
      </c>
      <c r="L19" s="30">
        <v>540000000</v>
      </c>
      <c r="M19" s="30">
        <v>851700000</v>
      </c>
      <c r="N19" s="30">
        <v>1260000000</v>
      </c>
      <c r="O19" s="27">
        <f>I40-I56-I61</f>
        <v>685617000</v>
      </c>
      <c r="P19" s="35">
        <f>Q102/J3</f>
        <v>15.629289582914573</v>
      </c>
      <c r="Q19" s="35">
        <f>Q102/J28</f>
        <v>98.191906140489351</v>
      </c>
      <c r="R19" s="36">
        <f>Q102/J107</f>
        <v>71.090940045714291</v>
      </c>
    </row>
    <row r="20" spans="1:18" ht="19" customHeight="1" x14ac:dyDescent="0.25">
      <c r="A20" s="14" t="s">
        <v>100</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6">
        <f t="shared" ref="J20" si="6">(J19/I19)-1</f>
        <v>-1.9919106317411401</v>
      </c>
      <c r="K20" s="16">
        <f t="shared" ref="K20" si="7">(K19/J19)-1</f>
        <v>0.42394822006472488</v>
      </c>
      <c r="L20" s="16">
        <f t="shared" ref="L20" si="8">(L19/K19)-1</f>
        <v>0.36363636363636354</v>
      </c>
      <c r="M20" s="16">
        <f t="shared" ref="M20" si="9">(M19/L19)-1</f>
        <v>0.5772222222222223</v>
      </c>
      <c r="N20" s="16">
        <f t="shared" ref="N20" si="10">(N19/M19)-1</f>
        <v>0.47939415287072906</v>
      </c>
      <c r="Q20" s="15"/>
      <c r="R20" s="15"/>
    </row>
    <row r="21" spans="1:18" ht="20" customHeight="1" x14ac:dyDescent="0.25">
      <c r="A21" s="5" t="s">
        <v>15</v>
      </c>
      <c r="B21" s="2">
        <v>-0.18140000000000001</v>
      </c>
      <c r="C21" s="2">
        <v>-0.27510000000000001</v>
      </c>
      <c r="D21" s="2">
        <v>-0.22070000000000001</v>
      </c>
      <c r="E21" s="2">
        <v>-0.12790000000000001</v>
      </c>
      <c r="F21" s="2">
        <v>-5.4800000000000001E-2</v>
      </c>
      <c r="G21" s="2">
        <v>-0.20080000000000001</v>
      </c>
      <c r="H21" s="2">
        <v>-0.2525</v>
      </c>
      <c r="I21" s="29">
        <v>-0.25700000000000001</v>
      </c>
      <c r="J21" s="31">
        <f>J19/J3</f>
        <v>0.1746859296482412</v>
      </c>
      <c r="K21" s="31">
        <f t="shared" ref="K21:N21" si="11">K19/K3</f>
        <v>0.19402253797158256</v>
      </c>
      <c r="L21" s="31">
        <f t="shared" si="11"/>
        <v>0.20905923344947736</v>
      </c>
      <c r="M21" s="31">
        <f t="shared" si="11"/>
        <v>0.26101746858718972</v>
      </c>
      <c r="N21" s="31">
        <f t="shared" si="11"/>
        <v>0.31080414405525408</v>
      </c>
      <c r="P21" s="45" t="s">
        <v>167</v>
      </c>
      <c r="Q21" s="23" t="s">
        <v>163</v>
      </c>
      <c r="R21" s="24" t="s">
        <v>166</v>
      </c>
    </row>
    <row r="22" spans="1:18" ht="19" x14ac:dyDescent="0.25">
      <c r="A22" s="6" t="s">
        <v>16</v>
      </c>
      <c r="B22" s="10">
        <v>-12418000</v>
      </c>
      <c r="C22" s="10">
        <v>-26843000</v>
      </c>
      <c r="D22" s="10">
        <v>-35073000</v>
      </c>
      <c r="E22" s="10">
        <v>-34624000</v>
      </c>
      <c r="F22" s="10">
        <v>-35313000</v>
      </c>
      <c r="G22" s="10">
        <v>-113956000</v>
      </c>
      <c r="H22" s="10">
        <v>-207812000</v>
      </c>
      <c r="I22" s="28">
        <v>-327429000</v>
      </c>
      <c r="P22" s="25">
        <f>SUM(K29:N29)/4</f>
        <v>0.28244735258569531</v>
      </c>
      <c r="Q22" s="38">
        <f>(-1*I98)/Q102</f>
        <v>0</v>
      </c>
      <c r="R22" s="39">
        <f>J107/Q102</f>
        <v>1.4066490038772316E-2</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c r="J28" s="32">
        <v>253400000</v>
      </c>
      <c r="K28" s="32">
        <v>340000000</v>
      </c>
      <c r="L28" s="32">
        <v>461400000</v>
      </c>
      <c r="M28" s="32">
        <v>494000000</v>
      </c>
      <c r="N28" s="32">
        <v>672000000</v>
      </c>
    </row>
    <row r="29" spans="1:18" ht="20" customHeight="1" thickTop="1" x14ac:dyDescent="0.25">
      <c r="A29" s="14" t="s">
        <v>102</v>
      </c>
      <c r="B29" s="1"/>
      <c r="C29" s="15">
        <f>(C28/B28)-1</f>
        <v>1.1382481296758105</v>
      </c>
      <c r="D29" s="15">
        <f>(D28/C28)-1</f>
        <v>0.29236824841460751</v>
      </c>
      <c r="E29" s="15">
        <f>(E28/D28)-1</f>
        <v>-5.1156232374506505E-2</v>
      </c>
      <c r="F29" s="15">
        <f t="shared" ref="F29:G29" si="12">(F28/E28)-1</f>
        <v>-0.14833858408131728</v>
      </c>
      <c r="G29" s="15">
        <f t="shared" si="12"/>
        <v>3.0173093700924793</v>
      </c>
      <c r="H29" s="15">
        <f t="shared" ref="H29" si="13">(H28/G28)-1</f>
        <v>1.2762170332534137</v>
      </c>
      <c r="I29" s="15">
        <f t="shared" ref="I29" si="14">(I28/H28)-1</f>
        <v>0.48944582469879294</v>
      </c>
      <c r="J29" s="16">
        <f t="shared" ref="J29" si="15">(J28/I28)-1</f>
        <v>-1.6492807690928006</v>
      </c>
      <c r="K29" s="16">
        <f t="shared" ref="K29" si="16">(K28/J28)-1</f>
        <v>0.34175217048145234</v>
      </c>
      <c r="L29" s="16">
        <f t="shared" ref="L29" si="17">(L28/K28)-1</f>
        <v>0.35705882352941187</v>
      </c>
      <c r="M29" s="16">
        <f t="shared" ref="M29" si="18">(M28/L28)-1</f>
        <v>7.0654529692240953E-2</v>
      </c>
      <c r="N29" s="16">
        <f t="shared" ref="N29" si="19">(N28/M28)-1</f>
        <v>0.36032388663967607</v>
      </c>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c r="J30" s="33">
        <f>J28/J3</f>
        <v>0.15917085427135677</v>
      </c>
      <c r="K30" s="33">
        <f t="shared" ref="K30:N30" si="20">K28/K3</f>
        <v>0.16658500734933857</v>
      </c>
      <c r="L30" s="33">
        <f t="shared" si="20"/>
        <v>0.17862950058072008</v>
      </c>
      <c r="M30" s="33">
        <f t="shared" si="20"/>
        <v>0.15139442231075698</v>
      </c>
      <c r="N30" s="33">
        <f t="shared" si="20"/>
        <v>0.16576221016280218</v>
      </c>
    </row>
    <row r="31" spans="1:18" ht="19" x14ac:dyDescent="0.25">
      <c r="A31" s="5" t="s">
        <v>24</v>
      </c>
      <c r="B31" s="12">
        <v>-0.13</v>
      </c>
      <c r="C31" s="12">
        <v>-0.26</v>
      </c>
      <c r="D31" s="12">
        <v>-0.35</v>
      </c>
      <c r="E31" s="12">
        <v>-0.63</v>
      </c>
      <c r="F31" s="12">
        <v>-0.23</v>
      </c>
      <c r="G31" s="12">
        <v>-0.89</v>
      </c>
      <c r="H31" s="12">
        <v>-1.93</v>
      </c>
      <c r="I31" s="12">
        <v>-2.77</v>
      </c>
      <c r="J31" s="34">
        <v>1.74</v>
      </c>
      <c r="K31" s="34">
        <v>2.33</v>
      </c>
      <c r="L31" s="34">
        <v>3.16</v>
      </c>
      <c r="M31" s="34">
        <v>3.39</v>
      </c>
      <c r="N31" s="34">
        <v>4.6100000000000003</v>
      </c>
    </row>
    <row r="32" spans="1:18" ht="19" x14ac:dyDescent="0.25">
      <c r="A32" s="5" t="s">
        <v>25</v>
      </c>
      <c r="B32" s="12">
        <v>-0.13</v>
      </c>
      <c r="C32" s="12">
        <v>-0.26</v>
      </c>
      <c r="D32" s="12">
        <v>-0.35</v>
      </c>
      <c r="E32" s="12">
        <v>-0.63</v>
      </c>
      <c r="F32" s="12">
        <v>-0.23</v>
      </c>
      <c r="G32" s="12">
        <v>-0.89</v>
      </c>
      <c r="H32" s="12">
        <v>-1.93</v>
      </c>
      <c r="I32" s="12">
        <v>-2.77</v>
      </c>
    </row>
    <row r="33" spans="1:13" ht="19" x14ac:dyDescent="0.25">
      <c r="A33" s="5" t="s">
        <v>26</v>
      </c>
      <c r="B33" s="1">
        <v>101722000</v>
      </c>
      <c r="C33" s="1">
        <v>103626000</v>
      </c>
      <c r="D33" s="1">
        <v>101722000</v>
      </c>
      <c r="E33" s="1">
        <v>63881000</v>
      </c>
      <c r="F33" s="1">
        <v>123566000</v>
      </c>
      <c r="G33" s="1">
        <v>129323000</v>
      </c>
      <c r="H33" s="1">
        <v>135654000</v>
      </c>
      <c r="I33" s="1">
        <v>140895000</v>
      </c>
      <c r="J33" s="1" cm="1">
        <f t="array" ref="J33">_FV(A1,"Shares outstanding",TRUE)</f>
        <v>147168800</v>
      </c>
    </row>
    <row r="34" spans="1:13" ht="19" x14ac:dyDescent="0.25">
      <c r="A34" s="5" t="s">
        <v>27</v>
      </c>
      <c r="B34" s="1">
        <v>101722000</v>
      </c>
      <c r="C34" s="1">
        <v>103626000</v>
      </c>
      <c r="D34" s="1">
        <v>101722000</v>
      </c>
      <c r="E34" s="1">
        <v>63881000</v>
      </c>
      <c r="F34" s="1">
        <v>123566000</v>
      </c>
      <c r="G34" s="1">
        <v>129323000</v>
      </c>
      <c r="H34" s="1">
        <v>135654000</v>
      </c>
      <c r="I34" s="1">
        <v>140895000</v>
      </c>
      <c r="J34" s="1" cm="1">
        <f t="array" ref="J34">_FV(A1,"Shares outstanding",TRUE)</f>
        <v>147168800</v>
      </c>
    </row>
    <row r="35" spans="1:13" ht="20" customHeight="1" x14ac:dyDescent="0.25">
      <c r="A35" s="14" t="s">
        <v>104</v>
      </c>
      <c r="B35" s="1"/>
      <c r="C35" s="20">
        <f>(C34-B34)/B34</f>
        <v>1.8717681524154067E-2</v>
      </c>
      <c r="D35" s="20">
        <f t="shared" ref="D35:G35" si="21">(D34-C34)/C34</f>
        <v>-1.8373767201281532E-2</v>
      </c>
      <c r="E35" s="20">
        <f t="shared" si="21"/>
        <v>-0.37200408957747588</v>
      </c>
      <c r="F35" s="20">
        <f t="shared" si="21"/>
        <v>0.93431536763669953</v>
      </c>
      <c r="G35" s="20">
        <f t="shared" si="21"/>
        <v>4.659048605603483E-2</v>
      </c>
      <c r="H35" s="20">
        <f t="shared" ref="H35" si="22">(H34-G34)/G34</f>
        <v>4.8954942276315888E-2</v>
      </c>
      <c r="I35" s="20">
        <f t="shared" ref="I35:J35" si="23">(I34-H34)/H34</f>
        <v>3.8635056835773361E-2</v>
      </c>
      <c r="J35" s="20">
        <f t="shared" si="23"/>
        <v>4.4528194754959366E-2</v>
      </c>
    </row>
    <row r="36" spans="1:13" ht="19" x14ac:dyDescent="0.25">
      <c r="A36" s="5" t="s">
        <v>28</v>
      </c>
      <c r="B36" s="13" t="s">
        <v>92</v>
      </c>
      <c r="C36" s="13" t="s">
        <v>92</v>
      </c>
      <c r="D36" s="13" t="s">
        <v>92</v>
      </c>
      <c r="E36" s="13" t="s">
        <v>92</v>
      </c>
      <c r="F36" s="13" t="s">
        <v>92</v>
      </c>
      <c r="G36" s="13" t="s">
        <v>92</v>
      </c>
      <c r="H36" s="13" t="s">
        <v>92</v>
      </c>
      <c r="I36" s="13" t="s">
        <v>92</v>
      </c>
    </row>
    <row r="37" spans="1:13" ht="21" x14ac:dyDescent="0.25">
      <c r="A37" s="4" t="s">
        <v>29</v>
      </c>
      <c r="B37" s="9" t="s">
        <v>90</v>
      </c>
      <c r="C37" s="9" t="s">
        <v>90</v>
      </c>
      <c r="D37" s="9" t="s">
        <v>90</v>
      </c>
      <c r="E37" s="9" t="s">
        <v>90</v>
      </c>
      <c r="F37" s="9" t="s">
        <v>90</v>
      </c>
      <c r="G37" s="9" t="s">
        <v>90</v>
      </c>
      <c r="H37" s="9" t="s">
        <v>90</v>
      </c>
      <c r="I37" s="9" t="s">
        <v>90</v>
      </c>
    </row>
    <row r="38" spans="1:13" ht="19" x14ac:dyDescent="0.25">
      <c r="A38" s="5" t="s">
        <v>30</v>
      </c>
      <c r="B38" s="1" t="s">
        <v>91</v>
      </c>
      <c r="C38" s="1">
        <v>92842000</v>
      </c>
      <c r="D38" s="1">
        <v>87978000</v>
      </c>
      <c r="E38" s="1">
        <v>135579000</v>
      </c>
      <c r="F38" s="1">
        <v>78484000</v>
      </c>
      <c r="G38" s="1">
        <v>141851000</v>
      </c>
      <c r="H38" s="1">
        <v>275898000</v>
      </c>
      <c r="I38" s="1">
        <v>1013210000</v>
      </c>
    </row>
    <row r="39" spans="1:13" ht="19" x14ac:dyDescent="0.25">
      <c r="A39" s="5" t="s">
        <v>31</v>
      </c>
      <c r="B39" s="1" t="s">
        <v>91</v>
      </c>
      <c r="C39" s="1" t="s">
        <v>91</v>
      </c>
      <c r="D39" s="1" t="s">
        <v>91</v>
      </c>
      <c r="E39" s="1">
        <v>162960000</v>
      </c>
      <c r="F39" s="1">
        <v>286162000</v>
      </c>
      <c r="G39" s="1">
        <v>1228722000</v>
      </c>
      <c r="H39" s="1">
        <v>1226654000</v>
      </c>
      <c r="I39" s="1">
        <v>718129000</v>
      </c>
    </row>
    <row r="40" spans="1:13" ht="19" x14ac:dyDescent="0.25">
      <c r="A40" s="5" t="s">
        <v>32</v>
      </c>
      <c r="B40" s="1" t="s">
        <v>91</v>
      </c>
      <c r="C40" s="1">
        <v>92842000</v>
      </c>
      <c r="D40" s="1">
        <v>87978000</v>
      </c>
      <c r="E40" s="1">
        <v>298539000</v>
      </c>
      <c r="F40" s="1">
        <v>364646000</v>
      </c>
      <c r="G40" s="1">
        <v>1370573000</v>
      </c>
      <c r="H40" s="1">
        <v>1502552000</v>
      </c>
      <c r="I40" s="1">
        <v>1731339000</v>
      </c>
    </row>
    <row r="41" spans="1:13" ht="19" x14ac:dyDescent="0.25">
      <c r="A41" s="5" t="s">
        <v>33</v>
      </c>
      <c r="B41" s="1" t="s">
        <v>91</v>
      </c>
      <c r="C41" s="1">
        <v>24489000</v>
      </c>
      <c r="D41" s="1">
        <v>39052000</v>
      </c>
      <c r="E41" s="1">
        <v>61611000</v>
      </c>
      <c r="F41" s="1">
        <v>93341000</v>
      </c>
      <c r="G41" s="1">
        <v>147584000</v>
      </c>
      <c r="H41" s="1">
        <v>257109000</v>
      </c>
      <c r="I41" s="1">
        <v>399745000</v>
      </c>
      <c r="M41" t="s">
        <v>168</v>
      </c>
    </row>
    <row r="42" spans="1:13" ht="19" x14ac:dyDescent="0.25">
      <c r="A42" s="5" t="s">
        <v>34</v>
      </c>
      <c r="B42" s="1" t="s">
        <v>91</v>
      </c>
      <c r="C42" s="1" t="s">
        <v>91</v>
      </c>
      <c r="D42" s="1" t="s">
        <v>91</v>
      </c>
      <c r="E42" s="1" t="s">
        <v>91</v>
      </c>
      <c r="F42" s="1" t="s">
        <v>91</v>
      </c>
      <c r="G42" s="1" t="s">
        <v>91</v>
      </c>
      <c r="H42" s="1" t="s">
        <v>91</v>
      </c>
      <c r="I42" s="1" t="s">
        <v>91</v>
      </c>
    </row>
    <row r="43" spans="1:13" ht="19" x14ac:dyDescent="0.25">
      <c r="A43" s="5" t="s">
        <v>35</v>
      </c>
      <c r="B43" s="1" t="s">
        <v>91</v>
      </c>
      <c r="C43" s="1">
        <v>9723000</v>
      </c>
      <c r="D43" s="1">
        <v>15879000</v>
      </c>
      <c r="E43" s="1">
        <v>27014000</v>
      </c>
      <c r="F43" s="1">
        <v>38099000</v>
      </c>
      <c r="G43" s="1">
        <v>63636000</v>
      </c>
      <c r="H43" s="1">
        <v>88642000</v>
      </c>
      <c r="I43" s="1">
        <v>125563000</v>
      </c>
    </row>
    <row r="44" spans="1:13" ht="19" x14ac:dyDescent="0.25">
      <c r="A44" s="6" t="s">
        <v>36</v>
      </c>
      <c r="B44" s="10" t="s">
        <v>91</v>
      </c>
      <c r="C44" s="10">
        <v>127054000</v>
      </c>
      <c r="D44" s="10">
        <v>142909000</v>
      </c>
      <c r="E44" s="10">
        <v>387164000</v>
      </c>
      <c r="F44" s="10">
        <v>496086000</v>
      </c>
      <c r="G44" s="10">
        <v>1581793000</v>
      </c>
      <c r="H44" s="10">
        <v>1848303000</v>
      </c>
      <c r="I44" s="10">
        <v>2256647000</v>
      </c>
    </row>
    <row r="45" spans="1:13" ht="19" x14ac:dyDescent="0.25">
      <c r="A45" s="5" t="s">
        <v>37</v>
      </c>
      <c r="B45" s="1" t="s">
        <v>91</v>
      </c>
      <c r="C45" s="1">
        <v>11108000</v>
      </c>
      <c r="D45" s="1">
        <v>13139000</v>
      </c>
      <c r="E45" s="1">
        <v>19765000</v>
      </c>
      <c r="F45" s="1">
        <v>41046000</v>
      </c>
      <c r="G45" s="1">
        <v>111853000</v>
      </c>
      <c r="H45" s="1">
        <v>152915000</v>
      </c>
      <c r="I45" s="1">
        <v>232990000</v>
      </c>
    </row>
    <row r="46" spans="1:13" ht="19" x14ac:dyDescent="0.25">
      <c r="A46" s="5" t="s">
        <v>38</v>
      </c>
      <c r="B46" s="1" t="s">
        <v>91</v>
      </c>
      <c r="C46" s="1" t="s">
        <v>91</v>
      </c>
      <c r="D46" s="1" t="s">
        <v>91</v>
      </c>
      <c r="E46" s="1" t="s">
        <v>91</v>
      </c>
      <c r="F46" s="1">
        <v>7479000</v>
      </c>
      <c r="G46" s="1">
        <v>30059000</v>
      </c>
      <c r="H46" s="1">
        <v>58977000</v>
      </c>
      <c r="I46" s="1">
        <v>78547000</v>
      </c>
    </row>
    <row r="47" spans="1:13" ht="19" x14ac:dyDescent="0.25">
      <c r="A47" s="5" t="s">
        <v>39</v>
      </c>
      <c r="B47" s="1" t="s">
        <v>91</v>
      </c>
      <c r="C47" s="1" t="s">
        <v>91</v>
      </c>
      <c r="D47" s="1" t="s">
        <v>91</v>
      </c>
      <c r="E47" s="1" t="s">
        <v>91</v>
      </c>
      <c r="F47" s="1">
        <v>8708000</v>
      </c>
      <c r="G47" s="1">
        <v>24024000</v>
      </c>
      <c r="H47" s="1">
        <v>32129000</v>
      </c>
      <c r="I47" s="1">
        <v>31819000</v>
      </c>
    </row>
    <row r="48" spans="1:13" ht="19" x14ac:dyDescent="0.25">
      <c r="A48" s="5" t="s">
        <v>40</v>
      </c>
      <c r="B48" s="1" t="s">
        <v>91</v>
      </c>
      <c r="C48" s="1" t="s">
        <v>91</v>
      </c>
      <c r="D48" s="1" t="s">
        <v>91</v>
      </c>
      <c r="E48" s="1" t="s">
        <v>91</v>
      </c>
      <c r="F48" s="1">
        <v>16187000</v>
      </c>
      <c r="G48" s="1">
        <v>54083000</v>
      </c>
      <c r="H48" s="1">
        <v>91106000</v>
      </c>
      <c r="I48" s="1">
        <v>110366000</v>
      </c>
    </row>
    <row r="49" spans="1:9" ht="19" x14ac:dyDescent="0.25">
      <c r="A49" s="5" t="s">
        <v>41</v>
      </c>
      <c r="B49" s="1" t="s">
        <v>91</v>
      </c>
      <c r="C49" s="1" t="s">
        <v>91</v>
      </c>
      <c r="D49" s="1" t="s">
        <v>91</v>
      </c>
      <c r="E49" s="1" t="s">
        <v>91</v>
      </c>
      <c r="F49" s="1" t="s">
        <v>91</v>
      </c>
      <c r="G49" s="1" t="s">
        <v>91</v>
      </c>
      <c r="H49" s="1" t="s">
        <v>91</v>
      </c>
      <c r="I49" s="1" t="s">
        <v>91</v>
      </c>
    </row>
    <row r="50" spans="1:9" ht="19" x14ac:dyDescent="0.25">
      <c r="A50" s="5" t="s">
        <v>42</v>
      </c>
      <c r="B50" s="1" t="s">
        <v>91</v>
      </c>
      <c r="C50" s="1" t="s">
        <v>91</v>
      </c>
      <c r="D50" s="1" t="s">
        <v>91</v>
      </c>
      <c r="E50" s="1" t="s">
        <v>91</v>
      </c>
      <c r="F50" s="1" t="s">
        <v>91</v>
      </c>
      <c r="G50" s="1" t="s">
        <v>91</v>
      </c>
      <c r="H50" s="1" t="s">
        <v>91</v>
      </c>
      <c r="I50" s="1" t="s">
        <v>91</v>
      </c>
    </row>
    <row r="51" spans="1:9" ht="19" x14ac:dyDescent="0.25">
      <c r="A51" s="5" t="s">
        <v>43</v>
      </c>
      <c r="B51" s="1" t="s">
        <v>91</v>
      </c>
      <c r="C51" s="1">
        <v>15356000</v>
      </c>
      <c r="D51" s="1">
        <v>26854000</v>
      </c>
      <c r="E51" s="1">
        <v>40852000</v>
      </c>
      <c r="F51" s="1">
        <v>50843000</v>
      </c>
      <c r="G51" s="1">
        <v>85729000</v>
      </c>
      <c r="H51" s="1">
        <v>165307000</v>
      </c>
      <c r="I51" s="1">
        <v>232662000</v>
      </c>
    </row>
    <row r="52" spans="1:9" ht="19" x14ac:dyDescent="0.25">
      <c r="A52" s="5" t="s">
        <v>44</v>
      </c>
      <c r="B52" s="1" t="s">
        <v>91</v>
      </c>
      <c r="C52" s="1">
        <v>26464000</v>
      </c>
      <c r="D52" s="1">
        <v>39993000</v>
      </c>
      <c r="E52" s="1">
        <v>60617000</v>
      </c>
      <c r="F52" s="1">
        <v>108076000</v>
      </c>
      <c r="G52" s="1">
        <v>251665000</v>
      </c>
      <c r="H52" s="1">
        <v>409328000</v>
      </c>
      <c r="I52" s="1">
        <v>576018000</v>
      </c>
    </row>
    <row r="53" spans="1:9" ht="19" x14ac:dyDescent="0.25">
      <c r="A53" s="5" t="s">
        <v>45</v>
      </c>
      <c r="B53" s="1" t="s">
        <v>91</v>
      </c>
      <c r="C53" s="1" t="s">
        <v>91</v>
      </c>
      <c r="D53" s="1" t="s">
        <v>91</v>
      </c>
      <c r="E53" s="1" t="s">
        <v>91</v>
      </c>
      <c r="F53" s="1" t="s">
        <v>91</v>
      </c>
      <c r="G53" s="1" t="s">
        <v>91</v>
      </c>
      <c r="H53" s="1" t="s">
        <v>91</v>
      </c>
      <c r="I53" s="1" t="s">
        <v>91</v>
      </c>
    </row>
    <row r="54" spans="1:9" ht="19" x14ac:dyDescent="0.25">
      <c r="A54" s="7" t="s">
        <v>46</v>
      </c>
      <c r="B54" s="11" t="s">
        <v>91</v>
      </c>
      <c r="C54" s="11">
        <v>153518000</v>
      </c>
      <c r="D54" s="11">
        <v>182902000</v>
      </c>
      <c r="E54" s="11">
        <v>447781000</v>
      </c>
      <c r="F54" s="11">
        <v>604162000</v>
      </c>
      <c r="G54" s="11">
        <v>1833458000</v>
      </c>
      <c r="H54" s="11">
        <v>2257631000</v>
      </c>
      <c r="I54" s="11">
        <v>2832665000</v>
      </c>
    </row>
    <row r="55" spans="1:9" ht="19" x14ac:dyDescent="0.25">
      <c r="A55" s="5" t="s">
        <v>47</v>
      </c>
      <c r="B55" s="1" t="s">
        <v>91</v>
      </c>
      <c r="C55" s="1">
        <v>1406000</v>
      </c>
      <c r="D55" s="1">
        <v>3763000</v>
      </c>
      <c r="E55" s="1">
        <v>4895000</v>
      </c>
      <c r="F55" s="1">
        <v>6208000</v>
      </c>
      <c r="G55" s="1">
        <v>5233000</v>
      </c>
      <c r="H55" s="1">
        <v>12547000</v>
      </c>
      <c r="I55" s="1">
        <v>26154000</v>
      </c>
    </row>
    <row r="56" spans="1:9" ht="19" x14ac:dyDescent="0.25">
      <c r="A56" s="5" t="s">
        <v>48</v>
      </c>
      <c r="B56" s="1" t="s">
        <v>91</v>
      </c>
      <c r="C56" s="1" t="s">
        <v>91</v>
      </c>
      <c r="D56" s="1" t="s">
        <v>91</v>
      </c>
      <c r="E56" s="1" t="s">
        <v>91</v>
      </c>
      <c r="F56" s="1" t="s">
        <v>91</v>
      </c>
      <c r="G56" s="1">
        <v>15600000</v>
      </c>
      <c r="H56" s="1">
        <v>19842000</v>
      </c>
      <c r="I56" s="1">
        <v>26100000</v>
      </c>
    </row>
    <row r="57" spans="1:9" ht="19" x14ac:dyDescent="0.25">
      <c r="A57" s="5" t="s">
        <v>49</v>
      </c>
      <c r="B57" s="1" t="s">
        <v>91</v>
      </c>
      <c r="C57" s="1" t="s">
        <v>91</v>
      </c>
      <c r="D57" s="1" t="s">
        <v>91</v>
      </c>
      <c r="E57" s="1" t="s">
        <v>91</v>
      </c>
      <c r="F57" s="1" t="s">
        <v>91</v>
      </c>
      <c r="G57" s="1" t="s">
        <v>91</v>
      </c>
      <c r="H57" s="1" t="s">
        <v>91</v>
      </c>
      <c r="I57" s="1" t="s">
        <v>91</v>
      </c>
    </row>
    <row r="58" spans="1:9" ht="19" x14ac:dyDescent="0.25">
      <c r="A58" s="5" t="s">
        <v>50</v>
      </c>
      <c r="B58" s="1" t="s">
        <v>91</v>
      </c>
      <c r="C58" s="1">
        <v>58490000</v>
      </c>
      <c r="D58" s="1">
        <v>85468000</v>
      </c>
      <c r="E58" s="1">
        <v>140670000</v>
      </c>
      <c r="F58" s="1">
        <v>221387000</v>
      </c>
      <c r="G58" s="1">
        <v>337263000</v>
      </c>
      <c r="H58" s="1">
        <v>571286000</v>
      </c>
      <c r="I58" s="1">
        <v>923749000</v>
      </c>
    </row>
    <row r="59" spans="1:9" ht="19" x14ac:dyDescent="0.25">
      <c r="A59" s="5" t="s">
        <v>51</v>
      </c>
      <c r="B59" s="1" t="s">
        <v>91</v>
      </c>
      <c r="C59" s="1">
        <v>18001000</v>
      </c>
      <c r="D59" s="1">
        <v>31228000</v>
      </c>
      <c r="E59" s="1">
        <v>37267000</v>
      </c>
      <c r="F59" s="1">
        <v>34354000</v>
      </c>
      <c r="G59" s="1">
        <v>65805000</v>
      </c>
      <c r="H59" s="1">
        <v>116530000</v>
      </c>
      <c r="I59" s="1">
        <v>158444000</v>
      </c>
    </row>
    <row r="60" spans="1:9" ht="19" x14ac:dyDescent="0.25">
      <c r="A60" s="6" t="s">
        <v>52</v>
      </c>
      <c r="B60" s="10" t="s">
        <v>91</v>
      </c>
      <c r="C60" s="10">
        <v>77897000</v>
      </c>
      <c r="D60" s="10">
        <v>120459000</v>
      </c>
      <c r="E60" s="10">
        <v>182832000</v>
      </c>
      <c r="F60" s="10">
        <v>261949000</v>
      </c>
      <c r="G60" s="10">
        <v>423901000</v>
      </c>
      <c r="H60" s="10">
        <v>720205000</v>
      </c>
      <c r="I60" s="10">
        <v>1134447000</v>
      </c>
    </row>
    <row r="61" spans="1:9" ht="19" x14ac:dyDescent="0.25">
      <c r="A61" s="5" t="s">
        <v>53</v>
      </c>
      <c r="B61" s="1" t="s">
        <v>91</v>
      </c>
      <c r="C61" s="1" t="s">
        <v>91</v>
      </c>
      <c r="D61" s="1" t="s">
        <v>91</v>
      </c>
      <c r="E61" s="1" t="s">
        <v>91</v>
      </c>
      <c r="F61" s="1" t="s">
        <v>91</v>
      </c>
      <c r="G61" s="1">
        <v>889638000</v>
      </c>
      <c r="H61" s="1">
        <v>944763000</v>
      </c>
      <c r="I61" s="1">
        <v>1019622000</v>
      </c>
    </row>
    <row r="62" spans="1:9" ht="19" x14ac:dyDescent="0.25">
      <c r="A62" s="5" t="s">
        <v>50</v>
      </c>
      <c r="B62" s="1" t="s">
        <v>91</v>
      </c>
      <c r="C62" s="1">
        <v>7423000</v>
      </c>
      <c r="D62" s="1">
        <v>11151000</v>
      </c>
      <c r="E62" s="1">
        <v>23353000</v>
      </c>
      <c r="F62" s="1">
        <v>29815000</v>
      </c>
      <c r="G62" s="1">
        <v>32504000</v>
      </c>
      <c r="H62" s="1">
        <v>59315000</v>
      </c>
      <c r="I62" s="1">
        <v>97374000</v>
      </c>
    </row>
    <row r="63" spans="1:9" ht="19" x14ac:dyDescent="0.25">
      <c r="A63" s="5" t="s">
        <v>54</v>
      </c>
      <c r="B63" s="1" t="s">
        <v>91</v>
      </c>
      <c r="C63" s="1" t="s">
        <v>91</v>
      </c>
      <c r="D63" s="1" t="s">
        <v>91</v>
      </c>
      <c r="E63" s="1" t="s">
        <v>91</v>
      </c>
      <c r="F63" s="1" t="s">
        <v>91</v>
      </c>
      <c r="G63" s="1" t="s">
        <v>91</v>
      </c>
      <c r="H63" s="1" t="s">
        <v>91</v>
      </c>
      <c r="I63" s="1" t="s">
        <v>91</v>
      </c>
    </row>
    <row r="64" spans="1:9" ht="19" x14ac:dyDescent="0.25">
      <c r="A64" s="5" t="s">
        <v>55</v>
      </c>
      <c r="B64" s="1" t="s">
        <v>91</v>
      </c>
      <c r="C64" s="1">
        <v>1531000</v>
      </c>
      <c r="D64" s="1">
        <v>1457000</v>
      </c>
      <c r="E64" s="1">
        <v>1360000</v>
      </c>
      <c r="F64" s="1">
        <v>3840000</v>
      </c>
      <c r="G64" s="1">
        <v>2586000</v>
      </c>
      <c r="H64" s="1">
        <v>4453000</v>
      </c>
      <c r="I64" s="1">
        <v>7922000</v>
      </c>
    </row>
    <row r="65" spans="1:17" ht="19" x14ac:dyDescent="0.25">
      <c r="A65" s="5" t="s">
        <v>56</v>
      </c>
      <c r="B65" s="1" t="s">
        <v>91</v>
      </c>
      <c r="C65" s="1">
        <v>8954000</v>
      </c>
      <c r="D65" s="1">
        <v>12608000</v>
      </c>
      <c r="E65" s="1">
        <v>24713000</v>
      </c>
      <c r="F65" s="1">
        <v>33655000</v>
      </c>
      <c r="G65" s="1">
        <v>924728000</v>
      </c>
      <c r="H65" s="1">
        <v>1008531000</v>
      </c>
      <c r="I65" s="1">
        <v>1124918000</v>
      </c>
    </row>
    <row r="66" spans="1:17" ht="19" x14ac:dyDescent="0.25">
      <c r="A66" s="5" t="s">
        <v>57</v>
      </c>
      <c r="B66" s="1" t="s">
        <v>91</v>
      </c>
      <c r="C66" s="1" t="s">
        <v>91</v>
      </c>
      <c r="D66" s="1" t="s">
        <v>91</v>
      </c>
      <c r="E66" s="1" t="s">
        <v>91</v>
      </c>
      <c r="F66" s="1" t="s">
        <v>91</v>
      </c>
      <c r="G66" s="1" t="s">
        <v>91</v>
      </c>
      <c r="H66" s="1" t="s">
        <v>91</v>
      </c>
      <c r="I66" s="1" t="s">
        <v>91</v>
      </c>
    </row>
    <row r="67" spans="1:17" ht="19" x14ac:dyDescent="0.25">
      <c r="A67" s="6" t="s">
        <v>58</v>
      </c>
      <c r="B67" s="10" t="s">
        <v>91</v>
      </c>
      <c r="C67" s="10">
        <v>86851000</v>
      </c>
      <c r="D67" s="10">
        <v>133067000</v>
      </c>
      <c r="E67" s="10">
        <v>207545000</v>
      </c>
      <c r="F67" s="10">
        <v>295604000</v>
      </c>
      <c r="G67" s="10">
        <v>1348629000</v>
      </c>
      <c r="H67" s="10">
        <v>1728736000</v>
      </c>
      <c r="I67" s="10">
        <v>2259365000</v>
      </c>
    </row>
    <row r="68" spans="1:17" ht="19" x14ac:dyDescent="0.25">
      <c r="A68" s="5" t="s">
        <v>59</v>
      </c>
      <c r="B68" s="1" t="s">
        <v>91</v>
      </c>
      <c r="C68" s="1">
        <v>16000</v>
      </c>
      <c r="D68" s="1">
        <v>18000</v>
      </c>
      <c r="E68" s="1">
        <v>119000</v>
      </c>
      <c r="F68" s="1">
        <v>127000</v>
      </c>
      <c r="G68" s="1">
        <v>133000</v>
      </c>
      <c r="H68" s="1">
        <v>139000</v>
      </c>
      <c r="I68" s="1">
        <v>143000</v>
      </c>
    </row>
    <row r="69" spans="1:17" ht="19" x14ac:dyDescent="0.25">
      <c r="A69" s="5" t="s">
        <v>60</v>
      </c>
      <c r="B69" s="1" t="s">
        <v>91</v>
      </c>
      <c r="C69" s="1">
        <v>-126556000</v>
      </c>
      <c r="D69" s="1">
        <v>-162016000</v>
      </c>
      <c r="E69" s="1">
        <v>-196100000</v>
      </c>
      <c r="F69" s="1">
        <v>-224455000</v>
      </c>
      <c r="G69" s="1">
        <v>-339571000</v>
      </c>
      <c r="H69" s="1">
        <v>-601600000</v>
      </c>
      <c r="I69" s="1">
        <v>-991878000</v>
      </c>
    </row>
    <row r="70" spans="1:17" ht="19" x14ac:dyDescent="0.25">
      <c r="A70" s="5" t="s">
        <v>61</v>
      </c>
      <c r="B70" s="1" t="s">
        <v>91</v>
      </c>
      <c r="C70" s="1">
        <v>-10627000</v>
      </c>
      <c r="D70" s="1">
        <v>-17304000</v>
      </c>
      <c r="E70" s="1">
        <v>-124000</v>
      </c>
      <c r="F70" s="1">
        <v>268000</v>
      </c>
      <c r="G70" s="1">
        <v>463000</v>
      </c>
      <c r="H70" s="1">
        <v>-650000</v>
      </c>
      <c r="I70" s="1">
        <v>-25850000</v>
      </c>
    </row>
    <row r="71" spans="1:17" ht="19" x14ac:dyDescent="0.25">
      <c r="A71" s="5" t="s">
        <v>62</v>
      </c>
      <c r="B71" s="1" t="s">
        <v>91</v>
      </c>
      <c r="C71" s="1">
        <v>12427000</v>
      </c>
      <c r="D71" s="1">
        <v>28160000</v>
      </c>
      <c r="E71" s="1">
        <v>436341000</v>
      </c>
      <c r="F71" s="1">
        <v>532618000</v>
      </c>
      <c r="G71" s="1">
        <v>823804000</v>
      </c>
      <c r="H71" s="1">
        <v>1131006000</v>
      </c>
      <c r="I71" s="1">
        <v>1590885000</v>
      </c>
    </row>
    <row r="72" spans="1:17" ht="19" x14ac:dyDescent="0.25">
      <c r="A72" s="6" t="s">
        <v>63</v>
      </c>
      <c r="B72" s="10" t="s">
        <v>91</v>
      </c>
      <c r="C72" s="10">
        <v>66667000</v>
      </c>
      <c r="D72" s="10">
        <v>49835000</v>
      </c>
      <c r="E72" s="10">
        <v>240236000</v>
      </c>
      <c r="F72" s="10">
        <v>308558000</v>
      </c>
      <c r="G72" s="10">
        <v>484829000</v>
      </c>
      <c r="H72" s="10">
        <v>528895000</v>
      </c>
      <c r="I72" s="10">
        <v>573300000</v>
      </c>
    </row>
    <row r="73" spans="1:17" ht="19" x14ac:dyDescent="0.25">
      <c r="A73" s="7" t="s">
        <v>64</v>
      </c>
      <c r="B73" s="11" t="s">
        <v>91</v>
      </c>
      <c r="C73" s="11">
        <v>153518000</v>
      </c>
      <c r="D73" s="11">
        <v>182902000</v>
      </c>
      <c r="E73" s="11">
        <v>447781000</v>
      </c>
      <c r="F73" s="11">
        <v>604162000</v>
      </c>
      <c r="G73" s="11">
        <v>1833458000</v>
      </c>
      <c r="H73" s="11">
        <v>2257631000</v>
      </c>
      <c r="I73" s="11">
        <v>2832665000</v>
      </c>
    </row>
    <row r="74" spans="1:17" ht="19" x14ac:dyDescent="0.25">
      <c r="A74" s="5" t="s">
        <v>28</v>
      </c>
      <c r="B74" s="13" t="s">
        <v>92</v>
      </c>
      <c r="C74" s="13" t="s">
        <v>92</v>
      </c>
      <c r="D74" s="13" t="s">
        <v>92</v>
      </c>
      <c r="E74" s="13" t="s">
        <v>92</v>
      </c>
      <c r="F74" s="13" t="s">
        <v>92</v>
      </c>
      <c r="G74" s="13" t="s">
        <v>92</v>
      </c>
      <c r="H74" s="13" t="s">
        <v>92</v>
      </c>
      <c r="I74" s="13" t="s">
        <v>92</v>
      </c>
    </row>
    <row r="75" spans="1:17" ht="21" x14ac:dyDescent="0.25">
      <c r="A75" s="4" t="s">
        <v>65</v>
      </c>
      <c r="B75" s="9" t="s">
        <v>90</v>
      </c>
      <c r="C75" s="9" t="s">
        <v>90</v>
      </c>
      <c r="D75" s="9" t="s">
        <v>90</v>
      </c>
      <c r="E75" s="9" t="s">
        <v>90</v>
      </c>
      <c r="F75" s="9" t="s">
        <v>90</v>
      </c>
      <c r="G75" s="9" t="s">
        <v>90</v>
      </c>
      <c r="H75" s="9" t="s">
        <v>90</v>
      </c>
      <c r="I75" s="9" t="s">
        <v>90</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91</v>
      </c>
      <c r="C78" s="1" t="s">
        <v>91</v>
      </c>
      <c r="D78" s="1" t="s">
        <v>91</v>
      </c>
      <c r="E78" s="1" t="s">
        <v>91</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106</v>
      </c>
      <c r="B80" s="15">
        <f t="shared" ref="B80:G80" si="24">B79/B3</f>
        <v>2.9065112555160408E-2</v>
      </c>
      <c r="C80" s="15">
        <f t="shared" si="24"/>
        <v>4.5029567382508559E-2</v>
      </c>
      <c r="D80" s="15">
        <f t="shared" si="24"/>
        <v>7.8899432853154303E-2</v>
      </c>
      <c r="E80" s="15">
        <f t="shared" si="24"/>
        <v>5.9019634650372819E-2</v>
      </c>
      <c r="F80" s="15">
        <f t="shared" si="24"/>
        <v>0.15329419223606175</v>
      </c>
      <c r="G80" s="15">
        <f t="shared" si="24"/>
        <v>0.28148325059301738</v>
      </c>
      <c r="H80" s="15">
        <f t="shared" ref="H80" si="25">H79/H3</f>
        <v>0.38409597385232508</v>
      </c>
      <c r="I80" s="15">
        <f t="shared" ref="I80" si="26">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19" x14ac:dyDescent="0.25">
      <c r="A83" s="5" t="s">
        <v>34</v>
      </c>
      <c r="B83" s="1" t="s">
        <v>91</v>
      </c>
      <c r="C83" s="1" t="s">
        <v>91</v>
      </c>
      <c r="D83" s="1" t="s">
        <v>91</v>
      </c>
      <c r="E83" s="1" t="s">
        <v>91</v>
      </c>
      <c r="F83" s="1" t="s">
        <v>91</v>
      </c>
      <c r="G83" s="1" t="s">
        <v>91</v>
      </c>
      <c r="H83" s="1" t="s">
        <v>91</v>
      </c>
      <c r="I83" s="1" t="s">
        <v>91</v>
      </c>
    </row>
    <row r="84" spans="1:17" ht="19" customHeight="1" x14ac:dyDescent="0.25">
      <c r="A84" s="5" t="s">
        <v>47</v>
      </c>
      <c r="B84" s="1">
        <v>-389000</v>
      </c>
      <c r="C84" s="1">
        <v>563000</v>
      </c>
      <c r="D84" s="1">
        <v>2249000</v>
      </c>
      <c r="E84" s="1">
        <v>-779000</v>
      </c>
      <c r="F84" s="1">
        <v>495000</v>
      </c>
      <c r="G84" s="1">
        <v>862000</v>
      </c>
      <c r="H84" s="1">
        <v>7451000</v>
      </c>
      <c r="I84" s="1">
        <v>14358000</v>
      </c>
      <c r="J84" s="46"/>
      <c r="K84" s="46"/>
      <c r="L84" s="46"/>
      <c r="M84" s="46"/>
      <c r="N84" s="46"/>
      <c r="O84" s="46"/>
      <c r="P84" s="75" t="s">
        <v>120</v>
      </c>
      <c r="Q84" s="76"/>
    </row>
    <row r="85" spans="1:17" ht="19" customHeight="1" x14ac:dyDescent="0.25">
      <c r="A85" s="5" t="s">
        <v>71</v>
      </c>
      <c r="B85" s="1">
        <v>7392000</v>
      </c>
      <c r="C85" s="1">
        <v>5232000</v>
      </c>
      <c r="D85" s="1">
        <v>13953000</v>
      </c>
      <c r="E85" s="1">
        <v>44760000</v>
      </c>
      <c r="F85" s="1">
        <v>52804000</v>
      </c>
      <c r="G85" s="1">
        <v>80865000</v>
      </c>
      <c r="H85" s="1">
        <v>168629000</v>
      </c>
      <c r="I85" s="1">
        <v>251002000</v>
      </c>
      <c r="J85" s="46"/>
      <c r="K85" s="46"/>
      <c r="L85" s="46"/>
      <c r="M85" s="46"/>
      <c r="N85" s="46"/>
      <c r="O85" s="46"/>
      <c r="P85" s="77" t="s">
        <v>121</v>
      </c>
      <c r="Q85" s="77"/>
    </row>
    <row r="86" spans="1:17" ht="20" x14ac:dyDescent="0.25">
      <c r="A86" s="5" t="s">
        <v>72</v>
      </c>
      <c r="B86" s="1">
        <v>3920000</v>
      </c>
      <c r="C86" s="1">
        <v>5456000</v>
      </c>
      <c r="D86" s="1">
        <v>8385000</v>
      </c>
      <c r="E86" s="1">
        <v>13311000</v>
      </c>
      <c r="F86" s="1">
        <v>16754000</v>
      </c>
      <c r="G86" s="1">
        <v>44479000</v>
      </c>
      <c r="H86" s="1">
        <v>125914000</v>
      </c>
      <c r="I86" s="1">
        <v>156273000</v>
      </c>
      <c r="J86" s="46"/>
      <c r="K86" s="46"/>
      <c r="L86" s="46"/>
      <c r="M86" s="46"/>
      <c r="N86" s="46"/>
      <c r="O86" s="46"/>
      <c r="P86" s="40" t="s">
        <v>101</v>
      </c>
      <c r="Q86" s="47">
        <f>I17</f>
        <v>53796000</v>
      </c>
    </row>
    <row r="87" spans="1:17" ht="20" x14ac:dyDescent="0.25">
      <c r="A87" s="6" t="s">
        <v>73</v>
      </c>
      <c r="B87" s="10">
        <v>-3279000</v>
      </c>
      <c r="C87" s="10">
        <v>-11916000</v>
      </c>
      <c r="D87" s="10">
        <v>-6019000</v>
      </c>
      <c r="E87" s="10">
        <v>17307000</v>
      </c>
      <c r="F87" s="10">
        <v>58027000</v>
      </c>
      <c r="G87" s="10">
        <v>79317000</v>
      </c>
      <c r="H87" s="10">
        <v>202040000</v>
      </c>
      <c r="I87" s="10">
        <v>321912000</v>
      </c>
      <c r="J87" s="46"/>
      <c r="K87" s="46"/>
      <c r="L87" s="46"/>
      <c r="M87" s="46"/>
      <c r="N87" s="46"/>
      <c r="O87" s="46"/>
      <c r="P87" s="40" t="s">
        <v>122</v>
      </c>
      <c r="Q87" s="47">
        <f>I56</f>
        <v>26100000</v>
      </c>
    </row>
    <row r="88" spans="1:17" ht="20" x14ac:dyDescent="0.25">
      <c r="A88" s="5" t="s">
        <v>74</v>
      </c>
      <c r="B88" s="1">
        <v>-5171000</v>
      </c>
      <c r="C88" s="1">
        <v>-5402000</v>
      </c>
      <c r="D88" s="1">
        <v>-7783000</v>
      </c>
      <c r="E88" s="1">
        <v>-13397000</v>
      </c>
      <c r="F88" s="1">
        <v>-25520000</v>
      </c>
      <c r="G88" s="1">
        <v>-43072000</v>
      </c>
      <c r="H88" s="1">
        <v>-48165000</v>
      </c>
      <c r="I88" s="1">
        <v>-69296000</v>
      </c>
      <c r="J88" s="46"/>
      <c r="K88" s="46"/>
      <c r="L88" s="46"/>
      <c r="M88" s="46"/>
      <c r="N88" s="46"/>
      <c r="O88" s="46"/>
      <c r="P88" s="40" t="s">
        <v>123</v>
      </c>
      <c r="Q88" s="47">
        <f>I61</f>
        <v>1019622000</v>
      </c>
    </row>
    <row r="89" spans="1:17" ht="20" customHeight="1" x14ac:dyDescent="0.25">
      <c r="A89" s="14" t="s">
        <v>107</v>
      </c>
      <c r="B89" s="15">
        <f t="shared" ref="B89:G89" si="27">(-1*B88)/B3</f>
        <v>9.6281676503993899E-2</v>
      </c>
      <c r="C89" s="15">
        <f t="shared" si="27"/>
        <v>6.7251789604730786E-2</v>
      </c>
      <c r="D89" s="15">
        <f t="shared" si="27"/>
        <v>6.1908890603498336E-2</v>
      </c>
      <c r="E89" s="15">
        <f t="shared" si="27"/>
        <v>7.0446012598988292E-2</v>
      </c>
      <c r="F89" s="15">
        <f t="shared" si="27"/>
        <v>8.4270033945766029E-2</v>
      </c>
      <c r="G89" s="15">
        <f t="shared" si="27"/>
        <v>9.9872701260698082E-2</v>
      </c>
      <c r="H89" s="15">
        <f t="shared" ref="H89" si="28">(-1*H88)/H3</f>
        <v>7.155697518942207E-2</v>
      </c>
      <c r="I89" s="15">
        <f t="shared" ref="I89" si="29">(-1*I88)/I3</f>
        <v>6.3519184267598949E-2</v>
      </c>
      <c r="J89" s="46"/>
      <c r="K89" s="46"/>
      <c r="L89" s="46"/>
      <c r="M89" s="46"/>
      <c r="N89" s="46"/>
      <c r="O89" s="46"/>
      <c r="P89" s="41" t="s">
        <v>124</v>
      </c>
      <c r="Q89" s="48">
        <f>Q86/(Q87+Q88)</f>
        <v>5.1443882791028593E-2</v>
      </c>
    </row>
    <row r="90" spans="1:17" ht="20" x14ac:dyDescent="0.25">
      <c r="A90" s="5" t="s">
        <v>75</v>
      </c>
      <c r="B90" s="1" t="s">
        <v>91</v>
      </c>
      <c r="C90" s="1" t="s">
        <v>91</v>
      </c>
      <c r="D90" s="1" t="s">
        <v>91</v>
      </c>
      <c r="E90" s="1" t="s">
        <v>91</v>
      </c>
      <c r="F90" s="1">
        <v>-11432000</v>
      </c>
      <c r="G90" s="1">
        <v>-41601000</v>
      </c>
      <c r="H90" s="1">
        <v>-40530000</v>
      </c>
      <c r="I90" s="1">
        <v>-25287000</v>
      </c>
      <c r="J90" s="49"/>
      <c r="K90" s="49"/>
      <c r="L90" s="49"/>
      <c r="M90" s="49"/>
      <c r="N90" s="49"/>
      <c r="O90" s="49"/>
      <c r="P90" s="40" t="s">
        <v>125</v>
      </c>
      <c r="Q90" s="47">
        <f>I27</f>
        <v>6648000</v>
      </c>
    </row>
    <row r="91" spans="1:17" ht="20" x14ac:dyDescent="0.25">
      <c r="A91" s="5" t="s">
        <v>76</v>
      </c>
      <c r="B91" s="1">
        <v>-38000</v>
      </c>
      <c r="C91" s="1" t="s">
        <v>91</v>
      </c>
      <c r="D91" s="1" t="s">
        <v>91</v>
      </c>
      <c r="E91" s="1">
        <v>-163366000</v>
      </c>
      <c r="F91" s="1">
        <v>-335186000</v>
      </c>
      <c r="G91" s="1">
        <v>-1255629000</v>
      </c>
      <c r="H91" s="1">
        <v>-818557000</v>
      </c>
      <c r="I91" s="1">
        <v>-844944000</v>
      </c>
      <c r="J91" s="46"/>
      <c r="K91" s="46"/>
      <c r="L91" s="46"/>
      <c r="M91" s="46"/>
      <c r="N91" s="46"/>
      <c r="O91" s="46"/>
      <c r="P91" s="40" t="s">
        <v>19</v>
      </c>
      <c r="Q91" s="47">
        <f>I25</f>
        <v>-383630000</v>
      </c>
    </row>
    <row r="92" spans="1:17" ht="20" x14ac:dyDescent="0.25">
      <c r="A92" s="5" t="s">
        <v>77</v>
      </c>
      <c r="B92" s="1">
        <v>6148000</v>
      </c>
      <c r="C92" s="1" t="s">
        <v>91</v>
      </c>
      <c r="D92" s="1" t="s">
        <v>91</v>
      </c>
      <c r="E92" s="1" t="s">
        <v>91</v>
      </c>
      <c r="F92" s="1">
        <v>214706000</v>
      </c>
      <c r="G92" s="1">
        <v>310877000</v>
      </c>
      <c r="H92" s="1">
        <v>807716000</v>
      </c>
      <c r="I92" s="1">
        <v>1334874000</v>
      </c>
      <c r="J92" s="46"/>
      <c r="K92" s="46"/>
      <c r="L92" s="46"/>
      <c r="M92" s="46"/>
      <c r="N92" s="46"/>
      <c r="O92" s="46"/>
      <c r="P92" s="41" t="s">
        <v>126</v>
      </c>
      <c r="Q92" s="48">
        <f>Q90/Q91</f>
        <v>-1.7329197403748404E-2</v>
      </c>
    </row>
    <row r="93" spans="1:17" ht="19" customHeight="1" x14ac:dyDescent="0.25">
      <c r="A93" s="5" t="s">
        <v>78</v>
      </c>
      <c r="B93" s="1">
        <v>-1534000</v>
      </c>
      <c r="C93" s="1">
        <v>-1245000</v>
      </c>
      <c r="D93" s="1">
        <v>-559000</v>
      </c>
      <c r="E93" s="1">
        <v>-1340000</v>
      </c>
      <c r="F93" s="1">
        <v>-4642000</v>
      </c>
      <c r="G93" s="1">
        <v>-8737000</v>
      </c>
      <c r="H93" s="1">
        <v>-10132000</v>
      </c>
      <c r="I93" s="1">
        <v>-21284000</v>
      </c>
      <c r="J93" s="46"/>
      <c r="K93" s="46"/>
      <c r="L93" s="46"/>
      <c r="M93" s="46"/>
      <c r="N93" s="46"/>
      <c r="O93" s="46"/>
      <c r="P93" s="41" t="s">
        <v>127</v>
      </c>
      <c r="Q93" s="48">
        <f>Q89*(1-Q92)</f>
        <v>5.2335363991129619E-2</v>
      </c>
    </row>
    <row r="94" spans="1:17" ht="19" customHeight="1" x14ac:dyDescent="0.25">
      <c r="A94" s="6" t="s">
        <v>79</v>
      </c>
      <c r="B94" s="10">
        <v>-595000</v>
      </c>
      <c r="C94" s="10">
        <v>-6647000</v>
      </c>
      <c r="D94" s="10">
        <v>-8342000</v>
      </c>
      <c r="E94" s="10">
        <v>-178103000</v>
      </c>
      <c r="F94" s="10">
        <v>-162074000</v>
      </c>
      <c r="G94" s="10">
        <v>-1038162000</v>
      </c>
      <c r="H94" s="10">
        <v>-109668000</v>
      </c>
      <c r="I94" s="10">
        <v>374063000</v>
      </c>
      <c r="J94" s="46"/>
      <c r="K94" s="46"/>
      <c r="L94" s="46"/>
      <c r="M94" s="46"/>
      <c r="N94" s="46"/>
      <c r="O94" s="46"/>
      <c r="P94" s="77" t="s">
        <v>128</v>
      </c>
      <c r="Q94" s="77"/>
    </row>
    <row r="95" spans="1:17" ht="20" x14ac:dyDescent="0.25">
      <c r="A95" s="5" t="s">
        <v>80</v>
      </c>
      <c r="B95" s="1">
        <v>-5500000</v>
      </c>
      <c r="C95" s="1" t="s">
        <v>91</v>
      </c>
      <c r="D95" s="1" t="s">
        <v>91</v>
      </c>
      <c r="E95" s="1" t="s">
        <v>91</v>
      </c>
      <c r="F95" s="1" t="s">
        <v>91</v>
      </c>
      <c r="G95" s="1" t="s">
        <v>91</v>
      </c>
      <c r="H95" s="1" t="s">
        <v>91</v>
      </c>
      <c r="I95" s="1" t="s">
        <v>91</v>
      </c>
      <c r="J95" s="46"/>
      <c r="K95" s="46"/>
      <c r="L95" s="46"/>
      <c r="M95" s="46"/>
      <c r="N95" s="46"/>
      <c r="O95" s="46"/>
      <c r="P95" s="40" t="s">
        <v>103</v>
      </c>
      <c r="Q95" s="71">
        <f>'[1]US Treasury Bonds'!$C$8</f>
        <v>4.9020000000000001E-2</v>
      </c>
    </row>
    <row r="96" spans="1:17" ht="20" x14ac:dyDescent="0.25">
      <c r="A96" s="5" t="s">
        <v>81</v>
      </c>
      <c r="B96" s="1" t="s">
        <v>91</v>
      </c>
      <c r="C96" s="1" t="s">
        <v>91</v>
      </c>
      <c r="D96" s="1" t="s">
        <v>91</v>
      </c>
      <c r="E96" s="1">
        <v>205344000</v>
      </c>
      <c r="F96" s="1" t="s">
        <v>91</v>
      </c>
      <c r="G96" s="1" t="s">
        <v>91</v>
      </c>
      <c r="H96" s="1" t="s">
        <v>91</v>
      </c>
      <c r="I96" s="1" t="s">
        <v>91</v>
      </c>
      <c r="J96" s="46"/>
      <c r="K96" s="46"/>
      <c r="L96" s="46"/>
      <c r="M96" s="46"/>
      <c r="N96" s="46"/>
      <c r="O96" s="46"/>
      <c r="P96" s="40" t="s">
        <v>129</v>
      </c>
      <c r="Q96" s="51" cm="1">
        <f t="array" ref="Q96">_FV(A1,"Beta")</f>
        <v>0.80549999999999999</v>
      </c>
    </row>
    <row r="97" spans="1:17" ht="20" x14ac:dyDescent="0.25">
      <c r="A97" s="5" t="s">
        <v>82</v>
      </c>
      <c r="B97" s="1" t="s">
        <v>91</v>
      </c>
      <c r="C97" s="1" t="s">
        <v>91</v>
      </c>
      <c r="D97" s="1" t="s">
        <v>91</v>
      </c>
      <c r="E97" s="1">
        <v>-3811000</v>
      </c>
      <c r="F97" s="1">
        <v>-22000</v>
      </c>
      <c r="G97" s="1" t="s">
        <v>91</v>
      </c>
      <c r="H97" s="1" t="s">
        <v>91</v>
      </c>
      <c r="I97" s="1" t="s">
        <v>91</v>
      </c>
      <c r="J97" s="46"/>
      <c r="K97" s="46"/>
      <c r="L97" s="46"/>
      <c r="M97" s="46"/>
      <c r="N97" s="46"/>
      <c r="O97" s="46"/>
      <c r="P97" s="40" t="s">
        <v>130</v>
      </c>
      <c r="Q97" s="50">
        <v>8.4000000000000005E-2</v>
      </c>
    </row>
    <row r="98" spans="1:17" ht="19" customHeight="1" x14ac:dyDescent="0.25">
      <c r="A98" s="5" t="s">
        <v>83</v>
      </c>
      <c r="B98" s="1" t="s">
        <v>91</v>
      </c>
      <c r="C98" s="1" t="s">
        <v>91</v>
      </c>
      <c r="D98" s="1" t="s">
        <v>91</v>
      </c>
      <c r="E98" s="1" t="s">
        <v>91</v>
      </c>
      <c r="F98" s="1" t="s">
        <v>91</v>
      </c>
      <c r="G98" s="1" t="s">
        <v>91</v>
      </c>
      <c r="H98" s="1" t="s">
        <v>91</v>
      </c>
      <c r="I98" s="1">
        <v>0</v>
      </c>
      <c r="J98" s="46"/>
      <c r="K98" s="46"/>
      <c r="L98" s="46"/>
      <c r="M98" s="46"/>
      <c r="N98" s="46"/>
      <c r="O98" s="46"/>
      <c r="P98" s="41" t="s">
        <v>131</v>
      </c>
      <c r="Q98" s="48">
        <f>(Q95)+((Q96)*(Q97-Q95))</f>
        <v>7.7196390000000004E-2</v>
      </c>
    </row>
    <row r="99" spans="1:17" ht="19" customHeight="1" x14ac:dyDescent="0.25">
      <c r="A99" s="5" t="s">
        <v>84</v>
      </c>
      <c r="B99" s="1">
        <v>91115000</v>
      </c>
      <c r="C99" s="1">
        <v>27563000</v>
      </c>
      <c r="D99" s="1">
        <v>9497000</v>
      </c>
      <c r="E99" s="1">
        <v>6864000</v>
      </c>
      <c r="F99" s="1">
        <v>46406000</v>
      </c>
      <c r="G99" s="1">
        <v>1022212000</v>
      </c>
      <c r="H99" s="1">
        <v>41675000</v>
      </c>
      <c r="I99" s="1">
        <v>41337000</v>
      </c>
      <c r="J99" s="46"/>
      <c r="K99" s="46"/>
      <c r="L99" s="46"/>
      <c r="M99" s="46"/>
      <c r="N99" s="46"/>
      <c r="O99" s="46"/>
      <c r="P99" s="77" t="s">
        <v>132</v>
      </c>
      <c r="Q99" s="77"/>
    </row>
    <row r="100" spans="1:17" ht="20" x14ac:dyDescent="0.25">
      <c r="A100" s="6" t="s">
        <v>85</v>
      </c>
      <c r="B100" s="10">
        <v>85615000</v>
      </c>
      <c r="C100" s="10">
        <v>27563000</v>
      </c>
      <c r="D100" s="10">
        <v>9497000</v>
      </c>
      <c r="E100" s="10">
        <v>208397000</v>
      </c>
      <c r="F100" s="10">
        <v>46384000</v>
      </c>
      <c r="G100" s="10">
        <v>1022212000</v>
      </c>
      <c r="H100" s="10">
        <v>41675000</v>
      </c>
      <c r="I100" s="10">
        <v>41337000</v>
      </c>
      <c r="J100" s="46"/>
      <c r="K100" s="46"/>
      <c r="L100" s="46"/>
      <c r="M100" s="46"/>
      <c r="N100" s="46"/>
      <c r="O100" s="46"/>
      <c r="P100" s="40" t="s">
        <v>133</v>
      </c>
      <c r="Q100" s="47">
        <f>Q87+Q88</f>
        <v>1045722000</v>
      </c>
    </row>
    <row r="101" spans="1:17" ht="20" x14ac:dyDescent="0.25">
      <c r="A101" s="5" t="s">
        <v>86</v>
      </c>
      <c r="B101" s="1" t="s">
        <v>91</v>
      </c>
      <c r="C101" s="1" t="s">
        <v>91</v>
      </c>
      <c r="D101" s="1" t="s">
        <v>91</v>
      </c>
      <c r="E101" s="1" t="s">
        <v>91</v>
      </c>
      <c r="F101" s="1" t="s">
        <v>91</v>
      </c>
      <c r="G101" s="1" t="s">
        <v>91</v>
      </c>
      <c r="H101" s="1" t="s">
        <v>91</v>
      </c>
      <c r="I101" s="1" t="s">
        <v>91</v>
      </c>
      <c r="J101" s="46"/>
      <c r="K101" s="46"/>
      <c r="L101" s="46"/>
      <c r="M101" s="46"/>
      <c r="N101" s="46"/>
      <c r="O101" s="46"/>
      <c r="P101" s="41" t="s">
        <v>105</v>
      </c>
      <c r="Q101" s="48">
        <f>Q100/Q104</f>
        <v>4.0332463307262631E-2</v>
      </c>
    </row>
    <row r="102" spans="1:17" ht="20" x14ac:dyDescent="0.25">
      <c r="A102" s="6" t="s">
        <v>87</v>
      </c>
      <c r="B102" s="10">
        <v>81741000</v>
      </c>
      <c r="C102" s="10">
        <v>9000000</v>
      </c>
      <c r="D102" s="10">
        <v>-4864000</v>
      </c>
      <c r="E102" s="10">
        <v>47601000</v>
      </c>
      <c r="F102" s="10">
        <v>-57663000</v>
      </c>
      <c r="G102" s="10">
        <v>63367000</v>
      </c>
      <c r="H102" s="10">
        <v>134047000</v>
      </c>
      <c r="I102" s="10">
        <v>737312000</v>
      </c>
      <c r="J102" s="46"/>
      <c r="K102" s="46"/>
      <c r="L102" s="46"/>
      <c r="M102" s="46"/>
      <c r="N102" s="46"/>
      <c r="O102" s="46"/>
      <c r="P102" s="40" t="s">
        <v>134</v>
      </c>
      <c r="Q102" s="52" cm="1">
        <f t="array" ref="Q102">_FV(A1,"Market cap",TRUE)</f>
        <v>24881829016</v>
      </c>
    </row>
    <row r="103" spans="1:17" ht="20" x14ac:dyDescent="0.25">
      <c r="A103" s="5" t="s">
        <v>88</v>
      </c>
      <c r="B103" s="1">
        <v>2101000</v>
      </c>
      <c r="C103" s="1">
        <v>83842000</v>
      </c>
      <c r="D103" s="1">
        <v>92842000</v>
      </c>
      <c r="E103" s="1">
        <v>87978000</v>
      </c>
      <c r="F103" s="1">
        <v>136147000</v>
      </c>
      <c r="G103" s="1">
        <v>78484000</v>
      </c>
      <c r="H103" s="1">
        <v>141851000</v>
      </c>
      <c r="I103" s="1">
        <v>275898000</v>
      </c>
      <c r="J103" s="46"/>
      <c r="K103" s="46"/>
      <c r="L103" s="46"/>
      <c r="M103" s="46"/>
      <c r="N103" s="46"/>
      <c r="O103" s="46"/>
      <c r="P103" s="41" t="s">
        <v>135</v>
      </c>
      <c r="Q103" s="48">
        <f>Q102/Q104</f>
        <v>0.95966753669273741</v>
      </c>
    </row>
    <row r="104" spans="1:17" ht="20" customHeight="1" thickBot="1" x14ac:dyDescent="0.3">
      <c r="A104" s="7" t="s">
        <v>89</v>
      </c>
      <c r="B104" s="11">
        <v>83842000</v>
      </c>
      <c r="C104" s="11">
        <v>92842000</v>
      </c>
      <c r="D104" s="11">
        <v>87978000</v>
      </c>
      <c r="E104" s="11">
        <v>135579000</v>
      </c>
      <c r="F104" s="11">
        <v>78484000</v>
      </c>
      <c r="G104" s="11">
        <v>141851000</v>
      </c>
      <c r="H104" s="11">
        <v>275898000</v>
      </c>
      <c r="I104" s="11">
        <v>1013210000</v>
      </c>
      <c r="J104" s="79" t="s">
        <v>115</v>
      </c>
      <c r="K104" s="79"/>
      <c r="L104" s="79"/>
      <c r="M104" s="79"/>
      <c r="N104" s="79"/>
      <c r="O104" s="46"/>
      <c r="P104" s="41" t="s">
        <v>136</v>
      </c>
      <c r="Q104" s="53">
        <f>Q100+Q102</f>
        <v>25927551016</v>
      </c>
    </row>
    <row r="105" spans="1:17" ht="21" customHeight="1" thickTop="1" x14ac:dyDescent="0.25">
      <c r="A105" s="14" t="s">
        <v>159</v>
      </c>
      <c r="C105" s="1">
        <f t="shared" ref="C105:H105" si="30">(C22*(1-0.2))+C77+C88+C81</f>
        <v>-20427400</v>
      </c>
      <c r="D105" s="1">
        <f t="shared" si="30"/>
        <v>-24704400</v>
      </c>
      <c r="E105" s="1">
        <f t="shared" si="30"/>
        <v>-14678200</v>
      </c>
      <c r="F105" s="1">
        <f t="shared" si="30"/>
        <v>-28873400</v>
      </c>
      <c r="G105" s="1">
        <f t="shared" si="30"/>
        <v>-104505800</v>
      </c>
      <c r="H105" s="1">
        <f t="shared" si="30"/>
        <v>-132388600</v>
      </c>
      <c r="I105" s="1">
        <f>(I22*(1-0.2))+I77+I88+I81</f>
        <v>-184322200</v>
      </c>
      <c r="J105" s="72">
        <f>J107/J3</f>
        <v>0.21984924623115579</v>
      </c>
      <c r="K105" s="72">
        <f>K107/K3</f>
        <v>0.18103870651641352</v>
      </c>
      <c r="L105" s="72">
        <f>L107/L3</f>
        <v>0.18989547038327526</v>
      </c>
      <c r="M105" s="72">
        <f>M107/M3</f>
        <v>0.22139135764633772</v>
      </c>
      <c r="N105" s="72">
        <f>N107/N3</f>
        <v>0.25801677355698077</v>
      </c>
      <c r="O105" s="73" t="s">
        <v>164</v>
      </c>
      <c r="P105" s="77" t="s">
        <v>137</v>
      </c>
      <c r="Q105" s="77"/>
    </row>
    <row r="106" spans="1:17" ht="20" x14ac:dyDescent="0.25">
      <c r="A106" s="14" t="s">
        <v>160</v>
      </c>
      <c r="B106" s="1"/>
      <c r="C106" s="15">
        <f t="shared" ref="C106:I106" si="31">(C107/B107)-1</f>
        <v>0.81921073717948723</v>
      </c>
      <c r="D106" s="15">
        <f t="shared" si="31"/>
        <v>-0.21857622639431817</v>
      </c>
      <c r="E106" s="15">
        <f t="shared" si="31"/>
        <v>-1.1505671810047207</v>
      </c>
      <c r="F106" s="15">
        <f t="shared" si="31"/>
        <v>12.039307440336922</v>
      </c>
      <c r="G106" s="15">
        <f t="shared" si="31"/>
        <v>-1.2811771038937714E-2</v>
      </c>
      <c r="H106" s="15">
        <f t="shared" si="31"/>
        <v>4.2254980369347095</v>
      </c>
      <c r="I106" s="15">
        <f t="shared" si="31"/>
        <v>0.6093444550343321</v>
      </c>
      <c r="J106" s="55">
        <f>(J107/I105)-1</f>
        <v>-2.8988488635660818</v>
      </c>
      <c r="K106" s="55">
        <f>(K107/J107)-1</f>
        <v>5.5714285714285605E-2</v>
      </c>
      <c r="L106" s="55">
        <f>(L107/K107)-1</f>
        <v>0.32746955345060891</v>
      </c>
      <c r="M106" s="55">
        <f>(M107/L107)-1</f>
        <v>0.47278287461773694</v>
      </c>
      <c r="N106" s="55">
        <f>(N107/M107)-1</f>
        <v>0.44795127353266895</v>
      </c>
      <c r="O106" s="69">
        <f>SUM(J106:N106)/5</f>
        <v>-0.31898617525015627</v>
      </c>
      <c r="P106" s="42" t="s">
        <v>138</v>
      </c>
      <c r="Q106" s="56">
        <f>(Q101*Q93)+(Q103*Q98)</f>
        <v>7.6193683580716348E-2</v>
      </c>
    </row>
    <row r="107" spans="1:17" ht="20" customHeight="1" x14ac:dyDescent="0.25">
      <c r="A107" s="37" t="s">
        <v>161</v>
      </c>
      <c r="B107" s="1">
        <v>-9984000</v>
      </c>
      <c r="C107" s="1">
        <v>-18163000</v>
      </c>
      <c r="D107" s="1">
        <v>-14193000</v>
      </c>
      <c r="E107" s="1">
        <v>2137000</v>
      </c>
      <c r="F107" s="1">
        <v>27865000</v>
      </c>
      <c r="G107" s="1">
        <v>27508000</v>
      </c>
      <c r="H107" s="1">
        <v>143743000</v>
      </c>
      <c r="I107" s="1">
        <v>231332000</v>
      </c>
      <c r="J107" s="57">
        <v>350000000</v>
      </c>
      <c r="K107" s="57">
        <v>369500000</v>
      </c>
      <c r="L107" s="57">
        <v>490500000</v>
      </c>
      <c r="M107" s="57">
        <v>722400000</v>
      </c>
      <c r="N107" s="57">
        <v>1046000000</v>
      </c>
      <c r="O107" s="54" t="s">
        <v>162</v>
      </c>
      <c r="P107" s="58" t="s">
        <v>139</v>
      </c>
      <c r="Q107" s="43">
        <f>(SUM(J4:N4)/5)</f>
        <v>0.30250999354806429</v>
      </c>
    </row>
    <row r="108" spans="1:17" ht="19" x14ac:dyDescent="0.2">
      <c r="J108" s="74"/>
      <c r="K108" s="74"/>
      <c r="L108" s="74"/>
      <c r="M108" s="74"/>
      <c r="N108" s="59">
        <f>N107*(1+Q108)/(Q109-Q108)</f>
        <v>20943013376.045822</v>
      </c>
      <c r="O108" s="60" t="s">
        <v>140</v>
      </c>
      <c r="P108" s="61" t="s">
        <v>141</v>
      </c>
      <c r="Q108" s="44">
        <v>2.5000000000000001E-2</v>
      </c>
    </row>
    <row r="109" spans="1:17" ht="19" x14ac:dyDescent="0.2">
      <c r="J109" s="59">
        <f>J108+J107</f>
        <v>350000000</v>
      </c>
      <c r="K109" s="59">
        <f>K108+K107</f>
        <v>369500000</v>
      </c>
      <c r="L109" s="59">
        <f>L108+L107</f>
        <v>490500000</v>
      </c>
      <c r="M109" s="59">
        <f>M108+M107</f>
        <v>722400000</v>
      </c>
      <c r="N109" s="59">
        <f>N108+N107</f>
        <v>21989013376.045822</v>
      </c>
      <c r="O109" s="60" t="s">
        <v>136</v>
      </c>
      <c r="P109" s="62" t="s">
        <v>142</v>
      </c>
      <c r="Q109" s="43">
        <f>Q106</f>
        <v>7.6193683580716348E-2</v>
      </c>
    </row>
    <row r="110" spans="1:17" ht="19" x14ac:dyDescent="0.2">
      <c r="J110" s="78" t="s">
        <v>143</v>
      </c>
      <c r="K110" s="78"/>
      <c r="L110" s="46"/>
      <c r="M110" s="46"/>
      <c r="N110" s="46"/>
      <c r="O110" s="46"/>
      <c r="P110" s="46"/>
      <c r="Q110" s="46"/>
    </row>
    <row r="111" spans="1:17" ht="20" x14ac:dyDescent="0.2">
      <c r="J111" s="63" t="s">
        <v>144</v>
      </c>
      <c r="K111" s="52">
        <f>NPV(Q109,J109,K109,L109,M109,N109)</f>
        <v>16808191519.770399</v>
      </c>
      <c r="L111" s="46"/>
      <c r="M111" s="46"/>
      <c r="N111" s="46"/>
      <c r="O111" s="46"/>
      <c r="P111" s="46"/>
      <c r="Q111" s="46"/>
    </row>
    <row r="112" spans="1:17" ht="20" x14ac:dyDescent="0.2">
      <c r="J112" s="63" t="s">
        <v>145</v>
      </c>
      <c r="K112" s="52">
        <f>I40</f>
        <v>1731339000</v>
      </c>
      <c r="L112" s="46"/>
      <c r="M112" s="46"/>
      <c r="N112" s="46"/>
      <c r="O112" s="46"/>
      <c r="P112" s="46"/>
      <c r="Q112" s="46"/>
    </row>
    <row r="113" spans="10:17" ht="20" x14ac:dyDescent="0.2">
      <c r="J113" s="63" t="s">
        <v>133</v>
      </c>
      <c r="K113" s="52">
        <f>Q100</f>
        <v>1045722000</v>
      </c>
      <c r="L113" s="46"/>
      <c r="M113" s="46"/>
      <c r="N113" s="46"/>
      <c r="O113" s="46"/>
      <c r="P113" s="46"/>
      <c r="Q113" s="46"/>
    </row>
    <row r="114" spans="10:17" ht="19" customHeight="1" x14ac:dyDescent="0.2">
      <c r="J114" s="63" t="s">
        <v>146</v>
      </c>
      <c r="K114" s="52">
        <f>K111+K112-K113</f>
        <v>17493808519.770401</v>
      </c>
      <c r="L114" s="46"/>
      <c r="M114" s="46"/>
      <c r="N114" s="46"/>
      <c r="O114" s="46"/>
      <c r="P114" s="46"/>
      <c r="Q114" s="46"/>
    </row>
    <row r="115" spans="10:17" ht="20" x14ac:dyDescent="0.2">
      <c r="J115" s="63" t="s">
        <v>165</v>
      </c>
      <c r="K115" s="63">
        <f>I34*(1+(O16*5))</f>
        <v>172403932.42960474</v>
      </c>
      <c r="L115" s="46"/>
      <c r="M115" s="46"/>
      <c r="N115" s="46"/>
      <c r="O115" s="46"/>
      <c r="P115" s="46"/>
      <c r="Q115" s="46"/>
    </row>
    <row r="116" spans="10:17" ht="20" x14ac:dyDescent="0.2">
      <c r="J116" s="64" t="s">
        <v>147</v>
      </c>
      <c r="K116" s="65">
        <f>K114/K115</f>
        <v>101.46989267146445</v>
      </c>
      <c r="L116" s="46"/>
      <c r="M116" s="46"/>
      <c r="N116" s="46"/>
      <c r="O116" s="46"/>
      <c r="P116" s="46"/>
      <c r="Q116" s="46"/>
    </row>
    <row r="117" spans="10:17" ht="20" x14ac:dyDescent="0.2">
      <c r="J117" s="63" t="s">
        <v>148</v>
      </c>
      <c r="K117" s="66" cm="1">
        <f t="array" ref="K117">_FV(A1,"Price")</f>
        <v>169.07</v>
      </c>
      <c r="L117" s="46"/>
      <c r="M117" s="46"/>
      <c r="N117" s="46"/>
      <c r="O117" s="46"/>
      <c r="P117" s="46"/>
      <c r="Q117" s="46"/>
    </row>
    <row r="118" spans="10:17" ht="20" x14ac:dyDescent="0.2">
      <c r="J118" s="64" t="s">
        <v>149</v>
      </c>
      <c r="K118" s="67">
        <f>K116/K117-1</f>
        <v>-0.39983502294041251</v>
      </c>
      <c r="L118" s="46"/>
      <c r="M118" s="46"/>
      <c r="N118" s="46"/>
      <c r="O118" s="46"/>
      <c r="P118" s="46"/>
      <c r="Q118" s="46"/>
    </row>
    <row r="119" spans="10:17" ht="20" x14ac:dyDescent="0.2">
      <c r="J119" s="64" t="s">
        <v>150</v>
      </c>
      <c r="K119" s="68" t="str">
        <f>IF(K116&gt;K117,"BUY","SELL")</f>
        <v>SELL</v>
      </c>
      <c r="L119" s="46"/>
      <c r="M119" s="46"/>
      <c r="N119" s="46"/>
      <c r="O119" s="46"/>
      <c r="P119" s="46"/>
      <c r="Q119" s="46"/>
    </row>
  </sheetData>
  <mergeCells count="7">
    <mergeCell ref="P84:Q84"/>
    <mergeCell ref="P85:Q85"/>
    <mergeCell ref="J110:K110"/>
    <mergeCell ref="J104:N104"/>
    <mergeCell ref="P105:Q105"/>
    <mergeCell ref="P99:Q99"/>
    <mergeCell ref="P94:Q9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ZS/explorer/revenue_proj" xr:uid="{15CF3C49-908E-6442-BA91-E8CF79CB3CE5}"/>
    <hyperlink ref="O107" r:id="rId19" xr:uid="{2B5F2010-5329-AC45-8B3D-4745A251AD68}"/>
  </hyperlinks>
  <pageMargins left="0.7" right="0.7" top="0.75" bottom="0.75" header="0.3" footer="0.3"/>
  <drawing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2023-03-02T23:10:13Z</dcterms:created>
  <dcterms:modified xsi:type="dcterms:W3CDTF">2023-10-20T04:27:55Z</dcterms:modified>
</cp:coreProperties>
</file>